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 activeTab="5"/>
  </bookViews>
  <sheets>
    <sheet name="udaje z dotaznika" sheetId="1" r:id="rId1"/>
    <sheet name="vyska" sheetId="2" r:id="rId2"/>
    <sheet name="hmotnost" sheetId="3" state="hidden" r:id="rId3"/>
    <sheet name="pohlavie" sheetId="4" r:id="rId4"/>
    <sheet name="vek" sheetId="5" r:id="rId5"/>
    <sheet name="fastfood" sheetId="6" r:id="rId6"/>
    <sheet name="zavislosti" sheetId="7" r:id="rId7"/>
  </sheets>
  <definedNames>
    <definedName name="_xlnm._FilterDatabase" localSheetId="1" hidden="1">vyska!$A$1:$A$31</definedName>
  </definedNames>
  <calcPr calcId="145621"/>
</workbook>
</file>

<file path=xl/calcChain.xml><?xml version="1.0" encoding="utf-8"?>
<calcChain xmlns="http://schemas.openxmlformats.org/spreadsheetml/2006/main">
  <c r="C3" i="7" l="1"/>
  <c r="C2" i="7"/>
  <c r="M16" i="1"/>
  <c r="L16" i="1"/>
  <c r="K16" i="1"/>
  <c r="J16" i="1"/>
  <c r="N11" i="1"/>
  <c r="N10" i="1"/>
  <c r="N9" i="1"/>
  <c r="M11" i="1"/>
  <c r="M10" i="1"/>
  <c r="M9" i="1"/>
  <c r="L11" i="1"/>
  <c r="L10" i="1"/>
  <c r="L9" i="1"/>
  <c r="K11" i="1"/>
  <c r="K10" i="1"/>
  <c r="K9" i="1"/>
  <c r="J11" i="1"/>
  <c r="J10" i="1"/>
  <c r="J9" i="1"/>
  <c r="L4" i="6" l="1"/>
  <c r="K4" i="6"/>
  <c r="J4" i="6"/>
  <c r="I4" i="6"/>
  <c r="H4" i="6"/>
  <c r="C11" i="6"/>
  <c r="C12" i="6"/>
  <c r="C28" i="6"/>
  <c r="C22" i="6"/>
  <c r="C29" i="6"/>
  <c r="C3" i="6"/>
  <c r="C23" i="6"/>
  <c r="C13" i="6"/>
  <c r="C4" i="6"/>
  <c r="C5" i="6"/>
  <c r="C24" i="6"/>
  <c r="C14" i="6"/>
  <c r="C25" i="6"/>
  <c r="C15" i="6"/>
  <c r="C16" i="6"/>
  <c r="C6" i="6"/>
  <c r="C30" i="6"/>
  <c r="C26" i="6"/>
  <c r="C17" i="6"/>
  <c r="C7" i="6"/>
  <c r="C8" i="6"/>
  <c r="C9" i="6"/>
  <c r="C18" i="6"/>
  <c r="C27" i="6"/>
  <c r="C19" i="6"/>
  <c r="C20" i="6"/>
  <c r="C10" i="6"/>
  <c r="C31" i="6"/>
  <c r="C21" i="6"/>
  <c r="C2" i="6"/>
  <c r="B11" i="6"/>
  <c r="I5" i="6" s="1"/>
  <c r="I6" i="6" s="1"/>
  <c r="B12" i="6"/>
  <c r="B28" i="6"/>
  <c r="K5" i="6" s="1"/>
  <c r="K6" i="6" s="1"/>
  <c r="B22" i="6"/>
  <c r="J5" i="6" s="1"/>
  <c r="J6" i="6" s="1"/>
  <c r="B29" i="6"/>
  <c r="B3" i="6"/>
  <c r="B23" i="6"/>
  <c r="B13" i="6"/>
  <c r="B4" i="6"/>
  <c r="B5" i="6"/>
  <c r="B24" i="6"/>
  <c r="B14" i="6"/>
  <c r="B25" i="6"/>
  <c r="B15" i="6"/>
  <c r="B16" i="6"/>
  <c r="B6" i="6"/>
  <c r="B30" i="6"/>
  <c r="B26" i="6"/>
  <c r="B17" i="6"/>
  <c r="B7" i="6"/>
  <c r="B8" i="6"/>
  <c r="B9" i="6"/>
  <c r="B18" i="6"/>
  <c r="B27" i="6"/>
  <c r="B19" i="6"/>
  <c r="B20" i="6"/>
  <c r="B10" i="6"/>
  <c r="B31" i="6"/>
  <c r="B21" i="6"/>
  <c r="B2" i="6"/>
  <c r="S5" i="5"/>
  <c r="R5" i="5"/>
  <c r="Q5" i="5"/>
  <c r="P5" i="5"/>
  <c r="O5" i="5"/>
  <c r="N5" i="5"/>
  <c r="M5" i="5"/>
  <c r="L5" i="5"/>
  <c r="K5" i="5"/>
  <c r="J5" i="5"/>
  <c r="I5" i="5"/>
  <c r="H5" i="5"/>
  <c r="H4" i="3"/>
  <c r="P4" i="3"/>
  <c r="C29" i="5"/>
  <c r="C7" i="5"/>
  <c r="C26" i="5"/>
  <c r="C13" i="5"/>
  <c r="C21" i="5"/>
  <c r="C20" i="5"/>
  <c r="C15" i="5"/>
  <c r="C19" i="5"/>
  <c r="C9" i="5"/>
  <c r="C27" i="5"/>
  <c r="C22" i="5"/>
  <c r="C30" i="5"/>
  <c r="C5" i="5"/>
  <c r="C25" i="5"/>
  <c r="C6" i="5"/>
  <c r="C23" i="5"/>
  <c r="C16" i="5"/>
  <c r="C10" i="5"/>
  <c r="C8" i="5"/>
  <c r="C28" i="5"/>
  <c r="C24" i="5"/>
  <c r="C4" i="5"/>
  <c r="C11" i="5"/>
  <c r="C3" i="5"/>
  <c r="C12" i="5"/>
  <c r="C31" i="5"/>
  <c r="C2" i="5"/>
  <c r="C14" i="5"/>
  <c r="C17" i="5"/>
  <c r="C18" i="5"/>
  <c r="B29" i="5"/>
  <c r="B7" i="5"/>
  <c r="K6" i="5" s="1"/>
  <c r="K7" i="5" s="1"/>
  <c r="B26" i="5"/>
  <c r="P6" i="5" s="1"/>
  <c r="P7" i="5" s="1"/>
  <c r="B13" i="5"/>
  <c r="B21" i="5"/>
  <c r="B20" i="5"/>
  <c r="B15" i="5"/>
  <c r="B19" i="5"/>
  <c r="B9" i="5"/>
  <c r="B27" i="5"/>
  <c r="B22" i="5"/>
  <c r="B30" i="5"/>
  <c r="B5" i="5"/>
  <c r="B25" i="5"/>
  <c r="B6" i="5"/>
  <c r="B23" i="5"/>
  <c r="O6" i="5" s="1"/>
  <c r="O7" i="5" s="1"/>
  <c r="B16" i="5"/>
  <c r="B10" i="5"/>
  <c r="L6" i="5" s="1"/>
  <c r="L7" i="5" s="1"/>
  <c r="B8" i="5"/>
  <c r="B28" i="5"/>
  <c r="Q6" i="5" s="1"/>
  <c r="Q7" i="5" s="1"/>
  <c r="B24" i="5"/>
  <c r="B4" i="5"/>
  <c r="J6" i="5" s="1"/>
  <c r="J7" i="5" s="1"/>
  <c r="B11" i="5"/>
  <c r="B3" i="5"/>
  <c r="I6" i="5" s="1"/>
  <c r="I7" i="5" s="1"/>
  <c r="B12" i="5"/>
  <c r="B31" i="5"/>
  <c r="R6" i="5" s="1"/>
  <c r="R7" i="5" s="1"/>
  <c r="B2" i="5"/>
  <c r="H9" i="5" s="1"/>
  <c r="B14" i="5"/>
  <c r="B17" i="5"/>
  <c r="M6" i="5" s="1"/>
  <c r="M7" i="5" s="1"/>
  <c r="B18" i="5"/>
  <c r="N6" i="5" s="1"/>
  <c r="N7" i="5" s="1"/>
  <c r="I5" i="4"/>
  <c r="H5" i="4"/>
  <c r="C3" i="4"/>
  <c r="C4" i="4"/>
  <c r="C5" i="4"/>
  <c r="C15" i="4"/>
  <c r="C16" i="4"/>
  <c r="C17" i="4"/>
  <c r="C18" i="4"/>
  <c r="C6" i="4"/>
  <c r="C19" i="4"/>
  <c r="C20" i="4"/>
  <c r="C7" i="4"/>
  <c r="C21" i="4"/>
  <c r="C22" i="4"/>
  <c r="C23" i="4"/>
  <c r="C8" i="4"/>
  <c r="C24" i="4"/>
  <c r="C9" i="4"/>
  <c r="C10" i="4"/>
  <c r="C25" i="4"/>
  <c r="C11" i="4"/>
  <c r="C26" i="4"/>
  <c r="C27" i="4"/>
  <c r="C28" i="4"/>
  <c r="C12" i="4"/>
  <c r="C29" i="4"/>
  <c r="C13" i="4"/>
  <c r="C30" i="4"/>
  <c r="C31" i="4"/>
  <c r="C14" i="4"/>
  <c r="C2" i="4"/>
  <c r="B3" i="4"/>
  <c r="B4" i="4"/>
  <c r="B5" i="4"/>
  <c r="B15" i="4"/>
  <c r="I6" i="4" s="1"/>
  <c r="I7" i="4" s="1"/>
  <c r="B16" i="4"/>
  <c r="B17" i="4"/>
  <c r="B18" i="4"/>
  <c r="B6" i="4"/>
  <c r="B19" i="4"/>
  <c r="B20" i="4"/>
  <c r="B7" i="4"/>
  <c r="B21" i="4"/>
  <c r="B22" i="4"/>
  <c r="B23" i="4"/>
  <c r="B8" i="4"/>
  <c r="B24" i="4"/>
  <c r="B9" i="4"/>
  <c r="B10" i="4"/>
  <c r="B25" i="4"/>
  <c r="B11" i="4"/>
  <c r="B26" i="4"/>
  <c r="B27" i="4"/>
  <c r="B28" i="4"/>
  <c r="B12" i="4"/>
  <c r="B29" i="4"/>
  <c r="B13" i="4"/>
  <c r="B30" i="4"/>
  <c r="B31" i="4"/>
  <c r="B14" i="4"/>
  <c r="B2" i="4"/>
  <c r="H6" i="4" s="1"/>
  <c r="H7" i="4" s="1"/>
  <c r="O4" i="3"/>
  <c r="N4" i="3"/>
  <c r="M4" i="3"/>
  <c r="L4" i="3"/>
  <c r="K4" i="3"/>
  <c r="J4" i="3"/>
  <c r="I4" i="3"/>
  <c r="C11" i="3"/>
  <c r="C29" i="3"/>
  <c r="C24" i="3"/>
  <c r="C14" i="3"/>
  <c r="C12" i="3"/>
  <c r="C23" i="3"/>
  <c r="C13" i="3"/>
  <c r="C31" i="3"/>
  <c r="C4" i="3"/>
  <c r="C17" i="3"/>
  <c r="C6" i="3"/>
  <c r="C3" i="3"/>
  <c r="C21" i="3"/>
  <c r="C28" i="3"/>
  <c r="C18" i="3"/>
  <c r="C22" i="3"/>
  <c r="C30" i="3"/>
  <c r="C10" i="3"/>
  <c r="C19" i="3"/>
  <c r="C7" i="3"/>
  <c r="C15" i="3"/>
  <c r="C8" i="3"/>
  <c r="C16" i="3"/>
  <c r="C2" i="3"/>
  <c r="C9" i="3"/>
  <c r="C20" i="3"/>
  <c r="C26" i="3"/>
  <c r="C27" i="3"/>
  <c r="C5" i="3"/>
  <c r="C25" i="3"/>
  <c r="B11" i="3"/>
  <c r="B29" i="3"/>
  <c r="B24" i="3"/>
  <c r="B14" i="3"/>
  <c r="B12" i="3"/>
  <c r="B23" i="3"/>
  <c r="B13" i="3"/>
  <c r="B31" i="3"/>
  <c r="B4" i="3"/>
  <c r="B17" i="3"/>
  <c r="B6" i="3"/>
  <c r="B3" i="3"/>
  <c r="B21" i="3"/>
  <c r="L5" i="3" s="1"/>
  <c r="L6" i="3" s="1"/>
  <c r="B28" i="3"/>
  <c r="N5" i="3" s="1"/>
  <c r="N6" i="3" s="1"/>
  <c r="B18" i="3"/>
  <c r="B22" i="3"/>
  <c r="B30" i="3"/>
  <c r="O5" i="3" s="1"/>
  <c r="O6" i="3" s="1"/>
  <c r="B10" i="3"/>
  <c r="J5" i="3" s="1"/>
  <c r="J6" i="3" s="1"/>
  <c r="B19" i="3"/>
  <c r="B7" i="3"/>
  <c r="B15" i="3"/>
  <c r="K5" i="3" s="1"/>
  <c r="K6" i="3" s="1"/>
  <c r="B8" i="3"/>
  <c r="B16" i="3"/>
  <c r="B2" i="3"/>
  <c r="H5" i="3" s="1"/>
  <c r="H6" i="3" s="1"/>
  <c r="B9" i="3"/>
  <c r="B20" i="3"/>
  <c r="B26" i="3"/>
  <c r="B27" i="3"/>
  <c r="B5" i="3"/>
  <c r="I5" i="3" s="1"/>
  <c r="I6" i="3" s="1"/>
  <c r="B25" i="3"/>
  <c r="M5" i="3" s="1"/>
  <c r="M6" i="3" s="1"/>
  <c r="G2" i="1"/>
  <c r="H6" i="5" l="1"/>
  <c r="H7" i="5" s="1"/>
  <c r="H5" i="6"/>
  <c r="H6" i="6" s="1"/>
  <c r="Q4" i="2"/>
  <c r="P4" i="2"/>
  <c r="O4" i="2"/>
  <c r="N4" i="2"/>
  <c r="M4" i="2"/>
  <c r="L4" i="2"/>
  <c r="K4" i="2"/>
  <c r="J4" i="2"/>
  <c r="I4" i="2"/>
  <c r="H4" i="2"/>
  <c r="C5" i="2"/>
  <c r="C19" i="2"/>
  <c r="C3" i="2"/>
  <c r="C10" i="2"/>
  <c r="C13" i="2"/>
  <c r="C21" i="2"/>
  <c r="C29" i="2"/>
  <c r="C31" i="2"/>
  <c r="C4" i="2"/>
  <c r="C22" i="2"/>
  <c r="C16" i="2"/>
  <c r="C14" i="2"/>
  <c r="C24" i="2"/>
  <c r="C8" i="2"/>
  <c r="C6" i="2"/>
  <c r="C17" i="2"/>
  <c r="C23" i="2"/>
  <c r="C25" i="2"/>
  <c r="C15" i="2"/>
  <c r="C9" i="2"/>
  <c r="C2" i="2"/>
  <c r="C26" i="2"/>
  <c r="C7" i="2"/>
  <c r="C27" i="2"/>
  <c r="C30" i="2"/>
  <c r="C18" i="2"/>
  <c r="C11" i="2"/>
  <c r="C12" i="2"/>
  <c r="C20" i="2"/>
  <c r="B5" i="2"/>
  <c r="B19" i="2"/>
  <c r="L5" i="2" s="1"/>
  <c r="L6" i="2" s="1"/>
  <c r="B3" i="2"/>
  <c r="B10" i="2"/>
  <c r="B13" i="2"/>
  <c r="B21" i="2"/>
  <c r="B29" i="2"/>
  <c r="B31" i="2"/>
  <c r="P5" i="2" s="1"/>
  <c r="P6" i="2" s="1"/>
  <c r="B4" i="2"/>
  <c r="B22" i="2"/>
  <c r="B16" i="2"/>
  <c r="B14" i="2"/>
  <c r="B24" i="2"/>
  <c r="B8" i="2"/>
  <c r="B6" i="2"/>
  <c r="B17" i="2"/>
  <c r="B23" i="2"/>
  <c r="B25" i="2"/>
  <c r="B15" i="2"/>
  <c r="B9" i="2"/>
  <c r="B2" i="2"/>
  <c r="B26" i="2"/>
  <c r="B7" i="2"/>
  <c r="B27" i="2"/>
  <c r="B30" i="2"/>
  <c r="B18" i="2"/>
  <c r="B11" i="2"/>
  <c r="B12" i="2"/>
  <c r="B20" i="2"/>
  <c r="M5" i="2" l="1"/>
  <c r="M6" i="2" s="1"/>
  <c r="H5" i="2"/>
  <c r="H6" i="2" s="1"/>
  <c r="I5" i="2"/>
  <c r="I6" i="2" s="1"/>
  <c r="K5" i="2"/>
  <c r="K6" i="2" s="1"/>
  <c r="O5" i="2"/>
  <c r="O6" i="2" s="1"/>
  <c r="J5" i="2"/>
  <c r="J6" i="2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B28" i="2" s="1"/>
  <c r="N5" i="2" s="1"/>
  <c r="N6" i="2" s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/>
  <c r="H8" i="2" l="1"/>
  <c r="G17" i="1"/>
  <c r="C28" i="2" s="1"/>
</calcChain>
</file>

<file path=xl/sharedStrings.xml><?xml version="1.0" encoding="utf-8"?>
<sst xmlns="http://schemas.openxmlformats.org/spreadsheetml/2006/main" count="144" uniqueCount="53">
  <si>
    <t>výška</t>
  </si>
  <si>
    <t>hmotnosť</t>
  </si>
  <si>
    <t>vek</t>
  </si>
  <si>
    <t>pohlavie</t>
  </si>
  <si>
    <t>fast food</t>
  </si>
  <si>
    <t>nenavštevujem vôbec</t>
  </si>
  <si>
    <t>navštevujem každý deň</t>
  </si>
  <si>
    <t>navštevujem iba príležitostne</t>
  </si>
  <si>
    <t>navštevujem 2 - 3 krát týždenne</t>
  </si>
  <si>
    <t>m</t>
  </si>
  <si>
    <t>z</t>
  </si>
  <si>
    <t>BMI</t>
  </si>
  <si>
    <t>priemer BMI</t>
  </si>
  <si>
    <t>počet</t>
  </si>
  <si>
    <t>160 - 164</t>
  </si>
  <si>
    <t>170 - 174</t>
  </si>
  <si>
    <t>165 - 169</t>
  </si>
  <si>
    <t>175 - 179</t>
  </si>
  <si>
    <t>180 - 184</t>
  </si>
  <si>
    <t>185 - 189</t>
  </si>
  <si>
    <t>190 - 194</t>
  </si>
  <si>
    <t>195 - 199</t>
  </si>
  <si>
    <t>200 -204</t>
  </si>
  <si>
    <t>60 - 64</t>
  </si>
  <si>
    <t>65 - 69</t>
  </si>
  <si>
    <t>70 - 74</t>
  </si>
  <si>
    <t>75 - 79</t>
  </si>
  <si>
    <t>80 - 84</t>
  </si>
  <si>
    <t>85 - 89</t>
  </si>
  <si>
    <t>90 - 94</t>
  </si>
  <si>
    <t>95 - 99</t>
  </si>
  <si>
    <t>muži</t>
  </si>
  <si>
    <t>ženy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</si>
  <si>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</si>
  <si>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</si>
  <si>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</si>
  <si>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</si>
  <si>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</si>
  <si>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</si>
  <si>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</si>
  <si>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</si>
  <si>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0 - 19</t>
  </si>
  <si>
    <t xml:space="preserve">65 - </t>
  </si>
  <si>
    <t>fastfood</t>
  </si>
  <si>
    <t>koeficient korelácie</t>
  </si>
  <si>
    <t>Štatistický znak</t>
  </si>
  <si>
    <t>priemer</t>
  </si>
  <si>
    <t>modus</t>
  </si>
  <si>
    <t>medián</t>
  </si>
  <si>
    <t>maximum</t>
  </si>
  <si>
    <t>minimum</t>
  </si>
  <si>
    <t xml:space="preserve">závislosť BMI od výšky = </t>
  </si>
  <si>
    <t xml:space="preserve">závislosť BMI od veku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</si>
</sst>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2" xfId="0" applyBorder="1"/>
    <xf numFmtId="2" fontId="0" fillId="0" borderId="2" xfId="0" applyNumberFormat="1" applyBorder="1"/>
    <xf numFmtId="0" fontId="0" fillId="0" borderId="0" xfId="0" applyFont="1" applyBorder="1"/>
    <xf numFmtId="2" fontId="0" fillId="0" borderId="0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0" fillId="0" borderId="0" xfId="0" applyAlignment="1">
      <alignment horizontal="right"/>
    </xf>
  </cellXfs>
  <cellStyles count="1">
    <cellStyle name="Normální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BMI</a:t>
            </a:r>
            <a:r>
              <a:rPr lang="sk-SK" baseline="0"/>
              <a:t> podľa výšky</a:t>
            </a:r>
            <a:endParaRPr lang="sk-SK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vyska!$H$3:$P$3</c:f>
              <c:strCache>
                <c:ptCount val="1"/>
                <c:pt idx="0">
                  <c:v>160 - 164 165 - 169 170 - 174 175 - 179 180 - 184 185 - 189 190 - 194 195 - 199 200 -204</c:v>
                </c:pt>
              </c:strCache>
            </c:strRef>
          </c:tx>
          <c:invertIfNegative val="0"/>
          <c:cat>
            <c:strRef>
              <c:f>vyska!$H$3:$P$3</c:f>
              <c:strCache>
                <c:ptCount val="9"/>
                <c:pt idx="0">
                  <c:v>160 - 164</c:v>
                </c:pt>
                <c:pt idx="1">
                  <c:v>165 - 169</c:v>
                </c:pt>
                <c:pt idx="2">
                  <c:v>170 - 174</c:v>
                </c:pt>
                <c:pt idx="3">
                  <c:v>175 - 179</c:v>
                </c:pt>
                <c:pt idx="4">
                  <c:v>180 - 184</c:v>
                </c:pt>
                <c:pt idx="5">
                  <c:v>185 - 189</c:v>
                </c:pt>
                <c:pt idx="6">
                  <c:v>190 - 194</c:v>
                </c:pt>
                <c:pt idx="7">
                  <c:v>195 - 199</c:v>
                </c:pt>
                <c:pt idx="8">
                  <c:v>200 -204</c:v>
                </c:pt>
              </c:strCache>
            </c:strRef>
          </c:cat>
          <c:val>
            <c:numRef>
              <c:f>vyska!$H$5:$P$5</c:f>
              <c:numCache>
                <c:formatCode>0.00</c:formatCode>
                <c:ptCount val="9"/>
                <c:pt idx="0">
                  <c:v>27.612443407832593</c:v>
                </c:pt>
                <c:pt idx="1">
                  <c:v>27.524084602104782</c:v>
                </c:pt>
                <c:pt idx="2">
                  <c:v>24.525260347513239</c:v>
                </c:pt>
                <c:pt idx="3">
                  <c:v>26.504186421302151</c:v>
                </c:pt>
                <c:pt idx="4">
                  <c:v>28.076319285110493</c:v>
                </c:pt>
                <c:pt idx="5">
                  <c:v>22.598983164931742</c:v>
                </c:pt>
                <c:pt idx="6">
                  <c:v>21.430121527777779</c:v>
                </c:pt>
                <c:pt idx="7">
                  <c:v>19.480537414326594</c:v>
                </c:pt>
                <c:pt idx="8">
                  <c:v>24.256825326105798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73440"/>
        <c:axId val="92174976"/>
      </c:barChart>
      <c:catAx>
        <c:axId val="92173440"/>
        <c:scaling>
          <c:orientation val="minMax"/>
        </c:scaling>
        <c:delete val="0"/>
        <c:axPos val="b"/>
        <c:majorTickMark val="out"/>
        <c:minorTickMark val="none"/>
        <c:tickLblPos val="nextTo"/>
        <c:crossAx val="92174976"/>
        <c:crosses val="autoZero"/>
        <c:auto val="1"/>
        <c:lblAlgn val="ctr"/>
        <c:lblOffset val="100"/>
        <c:noMultiLvlLbl val="0"/>
      </c:catAx>
      <c:valAx>
        <c:axId val="921749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217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BMI podľa pohlavia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pohlavie!$H$4:$I$4</c:f>
              <c:strCache>
                <c:ptCount val="1"/>
                <c:pt idx="0">
                  <c:v>muži ženy</c:v>
                </c:pt>
              </c:strCache>
            </c:strRef>
          </c:tx>
          <c:invertIfNegative val="0"/>
          <c:cat>
            <c:strRef>
              <c:f>pohlavie!$H$4:$I$4</c:f>
              <c:strCache>
                <c:ptCount val="2"/>
                <c:pt idx="0">
                  <c:v>muži</c:v>
                </c:pt>
                <c:pt idx="1">
                  <c:v>ženy</c:v>
                </c:pt>
              </c:strCache>
            </c:strRef>
          </c:cat>
          <c:val>
            <c:numRef>
              <c:f>pohlavie!$H$6:$I$6</c:f>
              <c:numCache>
                <c:formatCode>0.00</c:formatCode>
                <c:ptCount val="2"/>
                <c:pt idx="0">
                  <c:v>24.532840451534526</c:v>
                </c:pt>
                <c:pt idx="1">
                  <c:v>24.811736106228686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00992"/>
        <c:axId val="93319168"/>
      </c:barChart>
      <c:catAx>
        <c:axId val="93300992"/>
        <c:scaling>
          <c:orientation val="minMax"/>
        </c:scaling>
        <c:delete val="0"/>
        <c:axPos val="b"/>
        <c:majorTickMark val="out"/>
        <c:minorTickMark val="none"/>
        <c:tickLblPos val="nextTo"/>
        <c:crossAx val="93319168"/>
        <c:crosses val="autoZero"/>
        <c:auto val="1"/>
        <c:lblAlgn val="ctr"/>
        <c:lblOffset val="100"/>
        <c:noMultiLvlLbl val="0"/>
      </c:catAx>
      <c:valAx>
        <c:axId val="93319168"/>
        <c:scaling>
          <c:orientation val="minMax"/>
          <c:max val="30"/>
          <c:min val="19"/>
        </c:scaling>
        <c:delete val="0"/>
        <c:axPos val="l"/>
        <c:majorGridlines/>
        <c:numFmt formatCode="0.00" sourceLinked="1"/>
        <c:majorTickMark val="out"/>
        <c:minorTickMark val="out"/>
        <c:tickLblPos val="nextTo"/>
        <c:crossAx val="93300992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BMI</a:t>
            </a:r>
            <a:r>
              <a:rPr lang="sk-SK" baseline="0"/>
              <a:t> podľa veku</a:t>
            </a:r>
            <a:endParaRPr lang="sk-SK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vek!$H$4:$R$4</c:f>
              <c:strCache>
                <c:ptCount val="1"/>
                <c:pt idx="0">
                  <c:v>0 - 19 20 - 24 25 - 29 30 - 34 35 - 39 40 - 44 45 - 49 50 - 54 55 - 59 60 - 64 65 - </c:v>
                </c:pt>
              </c:strCache>
            </c:strRef>
          </c:tx>
          <c:invertIfNegative val="0"/>
          <c:cat>
            <c:strRef>
              <c:f>vek!$H$4:$R$4</c:f>
              <c:strCache>
                <c:ptCount val="11"/>
                <c:pt idx="0">
                  <c:v>0 - 19</c:v>
                </c:pt>
                <c:pt idx="1">
                  <c:v>20 - 24</c:v>
                </c:pt>
                <c:pt idx="2">
                  <c:v>25 - 29</c:v>
                </c:pt>
                <c:pt idx="3">
                  <c:v>30 - 34</c:v>
                </c:pt>
                <c:pt idx="4">
                  <c:v>35 - 39</c:v>
                </c:pt>
                <c:pt idx="5">
                  <c:v>40 - 44</c:v>
                </c:pt>
                <c:pt idx="6">
                  <c:v>45 - 49</c:v>
                </c:pt>
                <c:pt idx="7">
                  <c:v>50 - 54</c:v>
                </c:pt>
                <c:pt idx="8">
                  <c:v>55 - 59</c:v>
                </c:pt>
                <c:pt idx="9">
                  <c:v>60 - 64</c:v>
                </c:pt>
                <c:pt idx="10">
                  <c:v>65 - </c:v>
                </c:pt>
              </c:strCache>
            </c:strRef>
          </c:cat>
          <c:val>
            <c:numRef>
              <c:f>vek!$H$6:$R$6</c:f>
              <c:numCache>
                <c:formatCode>0.00</c:formatCode>
                <c:ptCount val="11"/>
                <c:pt idx="0">
                  <c:v>27.776910832995224</c:v>
                </c:pt>
                <c:pt idx="1">
                  <c:v>21.513858510523864</c:v>
                </c:pt>
                <c:pt idx="2">
                  <c:v>24.719952851096682</c:v>
                </c:pt>
                <c:pt idx="3">
                  <c:v>24.025841478063537</c:v>
                </c:pt>
                <c:pt idx="4">
                  <c:v>23.924283448195386</c:v>
                </c:pt>
                <c:pt idx="5">
                  <c:v>23.183391003460208</c:v>
                </c:pt>
                <c:pt idx="6">
                  <c:v>24.725886307957644</c:v>
                </c:pt>
                <c:pt idx="7">
                  <c:v>27.511104130514717</c:v>
                </c:pt>
                <c:pt idx="8">
                  <c:v>27.744349585661595</c:v>
                </c:pt>
                <c:pt idx="9">
                  <c:v>23.550452550779834</c:v>
                </c:pt>
                <c:pt idx="10">
                  <c:v>20.151004999489849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82784"/>
        <c:axId val="94205056"/>
      </c:barChart>
      <c:catAx>
        <c:axId val="94182784"/>
        <c:scaling>
          <c:orientation val="minMax"/>
        </c:scaling>
        <c:delete val="0"/>
        <c:axPos val="b"/>
        <c:majorTickMark val="out"/>
        <c:minorTickMark val="none"/>
        <c:tickLblPos val="nextTo"/>
        <c:crossAx val="94205056"/>
        <c:crosses val="autoZero"/>
        <c:auto val="1"/>
        <c:lblAlgn val="ctr"/>
        <c:lblOffset val="100"/>
        <c:noMultiLvlLbl val="0"/>
      </c:catAx>
      <c:valAx>
        <c:axId val="942050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418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BMI podľa fastfoodu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fastfood!$O$5:$O$8</c:f>
              <c:strCache>
                <c:ptCount val="4"/>
                <c:pt idx="0">
                  <c:v>nenavštevujem vôbec</c:v>
                </c:pt>
                <c:pt idx="1">
                  <c:v>navštevujem iba príležitostne</c:v>
                </c:pt>
                <c:pt idx="2">
                  <c:v>navštevujem 2 - 3 krát týždenne</c:v>
                </c:pt>
                <c:pt idx="3">
                  <c:v>navštevujem každý deň</c:v>
                </c:pt>
              </c:strCache>
            </c:strRef>
          </c:cat>
          <c:val>
            <c:numRef>
              <c:f>fastfood!$H$5:$K$5</c:f>
              <c:numCache>
                <c:formatCode>0.00</c:formatCode>
                <c:ptCount val="4"/>
                <c:pt idx="0">
                  <c:v>25.648651112874795</c:v>
                </c:pt>
                <c:pt idx="1">
                  <c:v>23.774494916645686</c:v>
                </c:pt>
                <c:pt idx="2">
                  <c:v>21.750393335022171</c:v>
                </c:pt>
                <c:pt idx="3">
                  <c:v>29.466693891681956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16256"/>
        <c:axId val="94017792"/>
      </c:barChart>
      <c:catAx>
        <c:axId val="94016256"/>
        <c:scaling>
          <c:orientation val="minMax"/>
        </c:scaling>
        <c:delete val="0"/>
        <c:axPos val="b"/>
        <c:majorTickMark val="out"/>
        <c:minorTickMark val="none"/>
        <c:tickLblPos val="nextTo"/>
        <c:crossAx val="94017792"/>
        <c:crosses val="autoZero"/>
        <c:auto val="1"/>
        <c:lblAlgn val="ctr"/>
        <c:lblOffset val="100"/>
        <c:noMultiLvlLbl val="0"/>
      </c:catAx>
      <c:valAx>
        <c:axId val="94017792"/>
        <c:scaling>
          <c:orientation val="minMax"/>
          <c:max val="35"/>
          <c:min val="1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40162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12</xdr:row>
      <xdr:rowOff>100011</xdr:rowOff>
    </xdr:from>
    <xdr:to>
      <xdr:col>15</xdr:col>
      <xdr:colOff>276225</xdr:colOff>
      <xdr:row>29</xdr:row>
      <xdr:rowOff>47624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8</xdr:row>
      <xdr:rowOff>109536</xdr:rowOff>
    </xdr:from>
    <xdr:to>
      <xdr:col>14</xdr:col>
      <xdr:colOff>66675</xdr:colOff>
      <xdr:row>31</xdr:row>
      <xdr:rowOff>95249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10</xdr:row>
      <xdr:rowOff>14287</xdr:rowOff>
    </xdr:from>
    <xdr:to>
      <xdr:col>14</xdr:col>
      <xdr:colOff>76200</xdr:colOff>
      <xdr:row>27</xdr:row>
      <xdr:rowOff>142875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485774</xdr:colOff>
      <xdr:row>11</xdr:row>
      <xdr:rowOff>147637</xdr:rowOff>
    </xdr:from>
    <xdr:to>
      <xdr:col>13</xdr:col>
      <xdr:colOff>200025</xdr:colOff>
      <xdr:row>31</xdr:row>
      <xdr:rowOff>66675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B1" workbookViewId="0">
      <selection activeCell="I15" sqref="I15:M16"/>
    </sheetView>
  </sheetViews>
  <sheetFormatPr defaultRowHeight="15" x14ac:dyDescent="0.25"/>
  <cols>
    <col min="1" max="1" width="17" customWidth="1"/>
    <col min="2" max="2" width="13.140625" customWidth="1"/>
    <col min="4" max="4" width="13.28515625" customWidth="1"/>
    <col min="5" max="5" width="14" customWidth="1"/>
    <col min="6" max="6" width="10.42578125" style="1" customWidth="1"/>
    <col min="7" max="7" width="19.140625" customWidth="1"/>
    <col min="9" max="9" width="16" customWidth="1"/>
    <col min="11" max="11" width="12.7109375" customWidth="1"/>
    <col min="12" max="12" width="10.28515625" customWidth="1"/>
    <col min="13" max="13" width="10.140625" customWidth="1"/>
    <col min="14" max="14" width="9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11</v>
      </c>
    </row>
    <row r="2" spans="1:14" x14ac:dyDescent="0.25">
      <c r="A2">
        <v>185</v>
      </c>
      <c r="B2">
        <v>89</v>
      </c>
      <c r="C2">
        <v>45</v>
      </c>
      <c r="D2" t="s">
        <v>9</v>
      </c>
      <c r="E2">
        <v>0</v>
      </c>
      <c r="F2" s="1">
        <f>B2/(A2/100)^2</f>
        <v>26.004382761139514</v>
      </c>
      <c r="G2" t="str">
        <f t="shared" ref="G2:G31" si="0">IF(F2&gt;30,"obezita",IF(F2&gt;25,"nadváha",IF(F2&gt;19,"normálna hmotnosť","podváha")))</f>
        <v>nadváha</v>
      </c>
      <c r="I2">
        <v>0</v>
      </c>
      <c r="J2" t="s">
        <v>5</v>
      </c>
    </row>
    <row r="3" spans="1:14" x14ac:dyDescent="0.25">
      <c r="A3">
        <v>163</v>
      </c>
      <c r="B3">
        <v>73</v>
      </c>
      <c r="C3">
        <v>62</v>
      </c>
      <c r="D3" t="s">
        <v>9</v>
      </c>
      <c r="E3">
        <v>1</v>
      </c>
      <c r="F3" s="1">
        <f t="shared" ref="F3:F31" si="1">B3/(A3/100)^2</f>
        <v>27.475629493018182</v>
      </c>
      <c r="G3" t="str">
        <f t="shared" si="0"/>
        <v>nadváha</v>
      </c>
      <c r="I3">
        <v>7</v>
      </c>
      <c r="J3" t="s">
        <v>6</v>
      </c>
    </row>
    <row r="4" spans="1:14" x14ac:dyDescent="0.25">
      <c r="A4">
        <v>182</v>
      </c>
      <c r="B4">
        <v>93</v>
      </c>
      <c r="C4">
        <v>32</v>
      </c>
      <c r="D4" t="s">
        <v>9</v>
      </c>
      <c r="E4">
        <v>1</v>
      </c>
      <c r="F4" s="1">
        <f t="shared" si="1"/>
        <v>28.076319285110493</v>
      </c>
      <c r="G4" t="str">
        <f t="shared" si="0"/>
        <v>nadváha</v>
      </c>
      <c r="I4">
        <v>2</v>
      </c>
      <c r="J4" t="s">
        <v>8</v>
      </c>
    </row>
    <row r="5" spans="1:14" x14ac:dyDescent="0.25">
      <c r="A5">
        <v>161</v>
      </c>
      <c r="B5">
        <v>84</v>
      </c>
      <c r="C5">
        <v>56</v>
      </c>
      <c r="D5" t="s">
        <v>9</v>
      </c>
      <c r="E5">
        <v>7</v>
      </c>
      <c r="F5" s="1">
        <f t="shared" si="1"/>
        <v>32.406157169862269</v>
      </c>
      <c r="G5" t="str">
        <f t="shared" si="0"/>
        <v>obezita</v>
      </c>
      <c r="I5">
        <v>1</v>
      </c>
      <c r="J5" t="s">
        <v>7</v>
      </c>
    </row>
    <row r="6" spans="1:14" x14ac:dyDescent="0.25">
      <c r="A6">
        <v>170</v>
      </c>
      <c r="B6">
        <v>74</v>
      </c>
      <c r="C6">
        <v>37</v>
      </c>
      <c r="D6" t="s">
        <v>10</v>
      </c>
      <c r="E6">
        <v>2</v>
      </c>
      <c r="F6" s="1">
        <f t="shared" si="1"/>
        <v>25.605536332179934</v>
      </c>
      <c r="G6" t="str">
        <f t="shared" si="0"/>
        <v>nadváha</v>
      </c>
    </row>
    <row r="7" spans="1:14" x14ac:dyDescent="0.25">
      <c r="A7">
        <v>173</v>
      </c>
      <c r="B7">
        <v>73</v>
      </c>
      <c r="C7">
        <v>49</v>
      </c>
      <c r="D7" t="s">
        <v>10</v>
      </c>
      <c r="E7">
        <v>7</v>
      </c>
      <c r="F7" s="1">
        <f t="shared" si="1"/>
        <v>24.391058839252899</v>
      </c>
      <c r="G7" t="str">
        <f t="shared" si="0"/>
        <v>normálna hmotnosť</v>
      </c>
    </row>
    <row r="8" spans="1:14" x14ac:dyDescent="0.25">
      <c r="A8">
        <v>185</v>
      </c>
      <c r="B8">
        <v>83</v>
      </c>
      <c r="C8">
        <v>48</v>
      </c>
      <c r="D8" t="s">
        <v>10</v>
      </c>
      <c r="E8">
        <v>0</v>
      </c>
      <c r="F8" s="1">
        <f t="shared" si="1"/>
        <v>24.251278305332356</v>
      </c>
      <c r="G8" t="str">
        <f t="shared" si="0"/>
        <v>normálna hmotnosť</v>
      </c>
      <c r="I8" t="s">
        <v>45</v>
      </c>
      <c r="J8" t="s">
        <v>46</v>
      </c>
      <c r="K8" t="s">
        <v>47</v>
      </c>
      <c r="L8" t="s">
        <v>48</v>
      </c>
      <c r="M8" t="s">
        <v>49</v>
      </c>
      <c r="N8" t="s">
        <v>50</v>
      </c>
    </row>
    <row r="9" spans="1:14" x14ac:dyDescent="0.25">
      <c r="A9">
        <v>197</v>
      </c>
      <c r="B9">
        <v>73</v>
      </c>
      <c r="C9">
        <v>39</v>
      </c>
      <c r="D9" t="s">
        <v>10</v>
      </c>
      <c r="E9">
        <v>2</v>
      </c>
      <c r="F9" s="1">
        <f t="shared" si="1"/>
        <v>18.810069829163339</v>
      </c>
      <c r="G9" t="str">
        <f t="shared" si="0"/>
        <v>podváha</v>
      </c>
      <c r="I9" t="s">
        <v>0</v>
      </c>
      <c r="J9" s="1">
        <f>AVERAGE(A2:A31)</f>
        <v>178</v>
      </c>
      <c r="K9">
        <f>_xlfn.MODE.SNGL(A2:A31)</f>
        <v>187</v>
      </c>
      <c r="L9">
        <f>_xlfn.MODE.SNGL(A2:A31)</f>
        <v>187</v>
      </c>
      <c r="M9">
        <f>MAX(A2:A31)</f>
        <v>201</v>
      </c>
      <c r="N9">
        <f>MIN(A2:A31)</f>
        <v>160</v>
      </c>
    </row>
    <row r="10" spans="1:14" x14ac:dyDescent="0.25">
      <c r="A10">
        <v>201</v>
      </c>
      <c r="B10">
        <v>98</v>
      </c>
      <c r="C10">
        <v>47</v>
      </c>
      <c r="D10" t="s">
        <v>9</v>
      </c>
      <c r="E10">
        <v>1</v>
      </c>
      <c r="F10" s="1">
        <f t="shared" si="1"/>
        <v>24.256825326105798</v>
      </c>
      <c r="G10" t="str">
        <f t="shared" si="0"/>
        <v>normálna hmotnosť</v>
      </c>
      <c r="I10" t="s">
        <v>1</v>
      </c>
      <c r="J10" s="1">
        <f>AVERAGE(B2:B31)</f>
        <v>77.7</v>
      </c>
      <c r="K10">
        <f>_xlfn.MODE.SNGL(B2:B31)</f>
        <v>79</v>
      </c>
      <c r="L10">
        <f>_xlfn.MODE.SNGL(B2:B31)</f>
        <v>79</v>
      </c>
      <c r="M10">
        <f>MAX(B2:B31)</f>
        <v>98</v>
      </c>
      <c r="N10">
        <f>MIN(B2:B31)</f>
        <v>60</v>
      </c>
    </row>
    <row r="11" spans="1:14" x14ac:dyDescent="0.25">
      <c r="A11">
        <v>162</v>
      </c>
      <c r="B11">
        <v>63</v>
      </c>
      <c r="C11">
        <v>34</v>
      </c>
      <c r="D11" t="s">
        <v>10</v>
      </c>
      <c r="E11">
        <v>0</v>
      </c>
      <c r="F11" s="1">
        <f t="shared" si="1"/>
        <v>24.005486968449926</v>
      </c>
      <c r="G11" t="str">
        <f t="shared" si="0"/>
        <v>normálna hmotnosť</v>
      </c>
      <c r="I11" t="s">
        <v>2</v>
      </c>
      <c r="J11" s="1">
        <f>AVERAGE(C1:C31)</f>
        <v>43.06666666666667</v>
      </c>
      <c r="K11">
        <f>_xlfn.MODE.SNGL(C2:C31)</f>
        <v>32</v>
      </c>
      <c r="L11">
        <f>_xlfn.MODE.SNGL(C2:C31)</f>
        <v>32</v>
      </c>
      <c r="M11">
        <f>MAX(C2:C31)</f>
        <v>77</v>
      </c>
      <c r="N11">
        <f>MIN(C2:C31)</f>
        <v>16</v>
      </c>
    </row>
    <row r="12" spans="1:14" x14ac:dyDescent="0.25">
      <c r="A12">
        <v>185</v>
      </c>
      <c r="B12">
        <v>79</v>
      </c>
      <c r="C12">
        <v>58</v>
      </c>
      <c r="D12" t="s">
        <v>10</v>
      </c>
      <c r="E12">
        <v>0</v>
      </c>
      <c r="F12" s="1">
        <f t="shared" si="1"/>
        <v>23.082542001460919</v>
      </c>
      <c r="G12" t="str">
        <f t="shared" si="0"/>
        <v>normálna hmotnosť</v>
      </c>
    </row>
    <row r="13" spans="1:14" x14ac:dyDescent="0.25">
      <c r="A13">
        <v>178</v>
      </c>
      <c r="B13">
        <v>68</v>
      </c>
      <c r="C13">
        <v>52</v>
      </c>
      <c r="D13" t="s">
        <v>9</v>
      </c>
      <c r="E13">
        <v>2</v>
      </c>
      <c r="F13" s="1">
        <f t="shared" si="1"/>
        <v>21.461936624163616</v>
      </c>
      <c r="G13" t="str">
        <f t="shared" si="0"/>
        <v>normálna hmotnosť</v>
      </c>
    </row>
    <row r="14" spans="1:14" x14ac:dyDescent="0.25">
      <c r="A14">
        <v>173</v>
      </c>
      <c r="B14">
        <v>62</v>
      </c>
      <c r="C14">
        <v>63</v>
      </c>
      <c r="D14" t="s">
        <v>10</v>
      </c>
      <c r="E14">
        <v>1</v>
      </c>
      <c r="F14" s="1">
        <f t="shared" si="1"/>
        <v>20.715693808680545</v>
      </c>
      <c r="G14" t="str">
        <f t="shared" si="0"/>
        <v>normálna hmotnosť</v>
      </c>
    </row>
    <row r="15" spans="1:14" x14ac:dyDescent="0.25">
      <c r="A15">
        <v>187</v>
      </c>
      <c r="B15">
        <v>80</v>
      </c>
      <c r="C15">
        <v>27</v>
      </c>
      <c r="D15" t="s">
        <v>10</v>
      </c>
      <c r="E15">
        <v>2</v>
      </c>
      <c r="F15" s="1">
        <f t="shared" si="1"/>
        <v>22.877405702193368</v>
      </c>
      <c r="G15" t="str">
        <f t="shared" si="0"/>
        <v>normálna hmotnosť</v>
      </c>
      <c r="I15" t="s">
        <v>45</v>
      </c>
      <c r="J15" t="s">
        <v>46</v>
      </c>
      <c r="K15" t="s">
        <v>48</v>
      </c>
      <c r="L15" t="s">
        <v>49</v>
      </c>
      <c r="M15" t="s">
        <v>50</v>
      </c>
    </row>
    <row r="16" spans="1:14" x14ac:dyDescent="0.25">
      <c r="A16">
        <v>168</v>
      </c>
      <c r="B16">
        <v>90</v>
      </c>
      <c r="C16">
        <v>54</v>
      </c>
      <c r="D16" t="s">
        <v>10</v>
      </c>
      <c r="E16">
        <v>1</v>
      </c>
      <c r="F16" s="1">
        <f t="shared" si="1"/>
        <v>31.887755102040821</v>
      </c>
      <c r="G16" t="str">
        <f t="shared" si="0"/>
        <v>obezita</v>
      </c>
      <c r="I16" t="s">
        <v>11</v>
      </c>
      <c r="J16" s="1">
        <f>AVERAGE(F2:F31)</f>
        <v>24.690881322527883</v>
      </c>
      <c r="K16" s="1">
        <f>MEDIAN(F2:F31)</f>
        <v>24.128382636891139</v>
      </c>
      <c r="L16" s="1">
        <f>MAX(F2:F31)</f>
        <v>32.406157169862269</v>
      </c>
      <c r="M16" s="1">
        <f>MIN(F2:F31)</f>
        <v>18.810069829163339</v>
      </c>
    </row>
    <row r="17" spans="1:7" x14ac:dyDescent="0.25">
      <c r="A17">
        <v>192</v>
      </c>
      <c r="B17">
        <v>79</v>
      </c>
      <c r="C17">
        <v>30</v>
      </c>
      <c r="D17" t="s">
        <v>9</v>
      </c>
      <c r="E17">
        <v>1</v>
      </c>
      <c r="F17" s="1">
        <f t="shared" si="1"/>
        <v>21.430121527777779</v>
      </c>
      <c r="G17" t="str">
        <f t="shared" si="0"/>
        <v>normálna hmotnosť</v>
      </c>
    </row>
    <row r="18" spans="1:7" x14ac:dyDescent="0.25">
      <c r="A18">
        <v>165</v>
      </c>
      <c r="B18">
        <v>80</v>
      </c>
      <c r="C18">
        <v>52</v>
      </c>
      <c r="D18" t="s">
        <v>10</v>
      </c>
      <c r="E18">
        <v>0</v>
      </c>
      <c r="F18" s="1">
        <f t="shared" si="1"/>
        <v>29.384756657483933</v>
      </c>
      <c r="G18" t="str">
        <f t="shared" si="0"/>
        <v>nadváha</v>
      </c>
    </row>
    <row r="19" spans="1:7" x14ac:dyDescent="0.25">
      <c r="A19">
        <v>179</v>
      </c>
      <c r="B19">
        <v>97</v>
      </c>
      <c r="C19">
        <v>39</v>
      </c>
      <c r="D19" t="s">
        <v>9</v>
      </c>
      <c r="E19">
        <v>7</v>
      </c>
      <c r="F19" s="1">
        <f t="shared" si="1"/>
        <v>30.273711806747606</v>
      </c>
      <c r="G19" t="str">
        <f t="shared" si="0"/>
        <v>obezita</v>
      </c>
    </row>
    <row r="20" spans="1:7" x14ac:dyDescent="0.25">
      <c r="A20">
        <v>186</v>
      </c>
      <c r="B20">
        <v>70</v>
      </c>
      <c r="C20">
        <v>35</v>
      </c>
      <c r="D20" t="s">
        <v>9</v>
      </c>
      <c r="E20">
        <v>2</v>
      </c>
      <c r="F20" s="1">
        <f t="shared" si="1"/>
        <v>20.233553011908889</v>
      </c>
      <c r="G20" t="str">
        <f t="shared" si="0"/>
        <v>normálna hmotnosť</v>
      </c>
    </row>
    <row r="21" spans="1:7" x14ac:dyDescent="0.25">
      <c r="A21">
        <v>187</v>
      </c>
      <c r="B21">
        <v>79</v>
      </c>
      <c r="C21">
        <v>32</v>
      </c>
      <c r="D21" t="s">
        <v>10</v>
      </c>
      <c r="E21">
        <v>1</v>
      </c>
      <c r="F21" s="1">
        <f t="shared" si="1"/>
        <v>22.59143813091595</v>
      </c>
      <c r="G21" t="str">
        <f t="shared" si="0"/>
        <v>normálna hmotnosť</v>
      </c>
    </row>
    <row r="22" spans="1:7" x14ac:dyDescent="0.25">
      <c r="A22">
        <v>174</v>
      </c>
      <c r="B22">
        <v>68</v>
      </c>
      <c r="C22">
        <v>60</v>
      </c>
      <c r="D22" t="s">
        <v>9</v>
      </c>
      <c r="E22">
        <v>0</v>
      </c>
      <c r="F22" s="1">
        <f t="shared" si="1"/>
        <v>22.460034350640772</v>
      </c>
      <c r="G22" t="str">
        <f t="shared" si="0"/>
        <v>normálna hmotnosť</v>
      </c>
    </row>
    <row r="23" spans="1:7" x14ac:dyDescent="0.25">
      <c r="A23">
        <v>169</v>
      </c>
      <c r="B23">
        <v>78</v>
      </c>
      <c r="C23">
        <v>53</v>
      </c>
      <c r="D23" t="s">
        <v>10</v>
      </c>
      <c r="E23">
        <v>0</v>
      </c>
      <c r="F23" s="1">
        <f t="shared" si="1"/>
        <v>27.309968138370508</v>
      </c>
      <c r="G23" t="str">
        <f t="shared" si="0"/>
        <v>nadváha</v>
      </c>
    </row>
    <row r="24" spans="1:7" x14ac:dyDescent="0.25">
      <c r="A24">
        <v>160</v>
      </c>
      <c r="B24">
        <v>68</v>
      </c>
      <c r="C24">
        <v>26</v>
      </c>
      <c r="D24" t="s">
        <v>10</v>
      </c>
      <c r="E24">
        <v>0</v>
      </c>
      <c r="F24" s="1">
        <f t="shared" si="1"/>
        <v>26.562499999999996</v>
      </c>
      <c r="G24" t="str">
        <f t="shared" si="0"/>
        <v>nadváha</v>
      </c>
    </row>
    <row r="25" spans="1:7" x14ac:dyDescent="0.25">
      <c r="A25">
        <v>187</v>
      </c>
      <c r="B25">
        <v>78</v>
      </c>
      <c r="C25">
        <v>35</v>
      </c>
      <c r="D25" t="s">
        <v>10</v>
      </c>
      <c r="E25">
        <v>1</v>
      </c>
      <c r="F25" s="1">
        <f t="shared" si="1"/>
        <v>22.305470559638533</v>
      </c>
      <c r="G25" t="str">
        <f t="shared" si="0"/>
        <v>normálna hmotnosť</v>
      </c>
    </row>
    <row r="26" spans="1:7" x14ac:dyDescent="0.25">
      <c r="A26">
        <v>167</v>
      </c>
      <c r="B26">
        <v>60</v>
      </c>
      <c r="C26">
        <v>20</v>
      </c>
      <c r="D26" t="s">
        <v>9</v>
      </c>
      <c r="E26">
        <v>2</v>
      </c>
      <c r="F26" s="1">
        <f t="shared" si="1"/>
        <v>21.513858510523864</v>
      </c>
      <c r="G26" t="str">
        <f t="shared" si="0"/>
        <v>normálna hmotnosť</v>
      </c>
    </row>
    <row r="27" spans="1:7" x14ac:dyDescent="0.25">
      <c r="A27">
        <v>187</v>
      </c>
      <c r="B27">
        <v>68</v>
      </c>
      <c r="C27">
        <v>36</v>
      </c>
      <c r="D27" t="s">
        <v>10</v>
      </c>
      <c r="E27">
        <v>1</v>
      </c>
      <c r="F27" s="1">
        <f t="shared" si="1"/>
        <v>19.445794846864363</v>
      </c>
      <c r="G27" t="str">
        <f t="shared" si="0"/>
        <v>normálna hmotnosť</v>
      </c>
    </row>
    <row r="28" spans="1:7" x14ac:dyDescent="0.25">
      <c r="A28">
        <v>198</v>
      </c>
      <c r="B28">
        <v>79</v>
      </c>
      <c r="C28">
        <v>77</v>
      </c>
      <c r="D28" t="s">
        <v>9</v>
      </c>
      <c r="E28">
        <v>1</v>
      </c>
      <c r="F28" s="1">
        <f t="shared" si="1"/>
        <v>20.151004999489849</v>
      </c>
      <c r="G28" t="str">
        <f t="shared" si="0"/>
        <v>normálna hmotnosť</v>
      </c>
    </row>
    <row r="29" spans="1:7" x14ac:dyDescent="0.25">
      <c r="A29">
        <v>179</v>
      </c>
      <c r="B29">
        <v>89</v>
      </c>
      <c r="C29">
        <v>16</v>
      </c>
      <c r="D29" t="s">
        <v>10</v>
      </c>
      <c r="E29">
        <v>0</v>
      </c>
      <c r="F29" s="1">
        <f t="shared" si="1"/>
        <v>27.776910832995224</v>
      </c>
      <c r="G29" t="str">
        <f t="shared" si="0"/>
        <v>nadváha</v>
      </c>
    </row>
    <row r="30" spans="1:7" x14ac:dyDescent="0.25">
      <c r="A30">
        <v>170</v>
      </c>
      <c r="B30">
        <v>89</v>
      </c>
      <c r="C30">
        <v>37</v>
      </c>
      <c r="D30" t="s">
        <v>10</v>
      </c>
      <c r="E30">
        <v>7</v>
      </c>
      <c r="F30" s="1">
        <f t="shared" si="1"/>
        <v>30.795847750865054</v>
      </c>
      <c r="G30" t="str">
        <f t="shared" si="0"/>
        <v>obezita</v>
      </c>
    </row>
    <row r="31" spans="1:7" x14ac:dyDescent="0.25">
      <c r="A31">
        <v>170</v>
      </c>
      <c r="B31">
        <v>67</v>
      </c>
      <c r="C31">
        <v>41</v>
      </c>
      <c r="D31" t="s">
        <v>9</v>
      </c>
      <c r="E31">
        <v>1</v>
      </c>
      <c r="F31" s="1">
        <f t="shared" si="1"/>
        <v>23.183391003460208</v>
      </c>
      <c r="G31" t="str">
        <f t="shared" si="0"/>
        <v>normálna hmotnosť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7" workbookViewId="0">
      <selection activeCell="G8" sqref="G8:H8"/>
    </sheetView>
  </sheetViews>
  <sheetFormatPr defaultRowHeight="15" x14ac:dyDescent="0.25"/>
  <cols>
    <col min="1" max="1" width="17" customWidth="1"/>
    <col min="7" max="7" width="18.85546875" customWidth="1"/>
    <col min="8" max="8" width="11.85546875" bestFit="1" customWidth="1"/>
  </cols>
  <sheetData>
    <row r="1" spans="1:17" x14ac:dyDescent="0.25">
      <c r="A1" t="s">
        <v>0</v>
      </c>
      <c r="B1" t="s">
        <v>11</v>
      </c>
    </row>
    <row r="2" spans="1:17" x14ac:dyDescent="0.25">
      <c r="A2" s="4">
        <v>160</v>
      </c>
      <c r="B2" s="5">
        <f>'udaje z dotaznika'!F24</f>
        <v>26.562499999999996</v>
      </c>
      <c r="C2" s="4" t="str">
        <f>'udaje z dotaznika'!G24</f>
        <v>nadváha</v>
      </c>
    </row>
    <row r="3" spans="1:17" x14ac:dyDescent="0.25">
      <c r="A3" s="4">
        <v>161</v>
      </c>
      <c r="B3" s="5">
        <f>'udaje z dotaznika'!F5</f>
        <v>32.406157169862269</v>
      </c>
      <c r="C3" s="4" t="str">
        <f>'udaje z dotaznika'!G5</f>
        <v>obezita</v>
      </c>
      <c r="H3" t="s">
        <v>14</v>
      </c>
      <c r="I3" t="s">
        <v>16</v>
      </c>
      <c r="J3" t="s">
        <v>15</v>
      </c>
      <c r="K3" t="s">
        <v>17</v>
      </c>
      <c r="L3" t="s">
        <v>18</v>
      </c>
      <c r="M3" t="s">
        <v>19</v>
      </c>
      <c r="N3" t="s">
        <v>20</v>
      </c>
      <c r="O3" t="s">
        <v>21</v>
      </c>
      <c r="P3" t="s">
        <v>22</v>
      </c>
    </row>
    <row r="4" spans="1:17" x14ac:dyDescent="0.25">
      <c r="A4" s="4">
        <v>162</v>
      </c>
      <c r="B4" s="5">
        <f>'udaje z dotaznika'!F11</f>
        <v>24.005486968449926</v>
      </c>
      <c r="C4" s="4" t="str">
        <f>'udaje z dotaznika'!G11</f>
        <v>normálna hmotnosť</v>
      </c>
      <c r="G4" t="s">
        <v>13</v>
      </c>
      <c r="H4">
        <f>COUNTIFS(A2:A31,"&gt;=160",A2:A31,"&lt;=164")</f>
        <v>4</v>
      </c>
      <c r="I4">
        <f>COUNTIFS(A2:A31,"&gt;=165",A2:A31,"&lt;=169")</f>
        <v>4</v>
      </c>
      <c r="J4">
        <f>COUNTIFS(A2:A31,"&gt;=170",A2:A31,"&lt;=174")</f>
        <v>6</v>
      </c>
      <c r="K4">
        <f>COUNTIFS(A2:A31,"&gt;=175",A2:A31,"&lt;=179")</f>
        <v>3</v>
      </c>
      <c r="L4">
        <f>COUNTIFS(A2:A31,"&gt;=180",A2:A31,"&lt;=184")</f>
        <v>1</v>
      </c>
      <c r="M4">
        <f>COUNTIFS(A2:A31,"&gt;=185",A2:A31,"&lt;=189")</f>
        <v>8</v>
      </c>
      <c r="N4">
        <f>COUNTIFS(A2:A31,"&gt;=190",A2:A31,"&lt;=194")</f>
        <v>1</v>
      </c>
      <c r="O4">
        <f>COUNTIFS(A2:A31,"&gt;=195",A2:A31,"&lt;=199")</f>
        <v>2</v>
      </c>
      <c r="P4">
        <f>COUNTIFS(A2:A31,"&gt;=200",A2:A31,"&lt;=204")</f>
        <v>1</v>
      </c>
      <c r="Q4">
        <f>SUM(H4:P4)</f>
        <v>30</v>
      </c>
    </row>
    <row r="5" spans="1:17" x14ac:dyDescent="0.25">
      <c r="A5" s="2">
        <v>163</v>
      </c>
      <c r="B5" s="3">
        <f>'udaje z dotaznika'!F3</f>
        <v>27.475629493018182</v>
      </c>
      <c r="C5" s="2" t="str">
        <f>'udaje z dotaznika'!G3</f>
        <v>nadváha</v>
      </c>
      <c r="G5" t="s">
        <v>12</v>
      </c>
      <c r="H5" s="1">
        <f>AVERAGE(B2:B5)</f>
        <v>27.612443407832593</v>
      </c>
      <c r="I5" s="1">
        <f>AVERAGE(B6:B9)</f>
        <v>27.524084602104782</v>
      </c>
      <c r="J5" s="1">
        <f>AVERAGE(B10:B15)</f>
        <v>24.525260347513239</v>
      </c>
      <c r="K5" s="1">
        <f>AVERAGE(B16:B18)</f>
        <v>26.504186421302151</v>
      </c>
      <c r="L5" s="1">
        <f>AVERAGE(B19)</f>
        <v>28.076319285110493</v>
      </c>
      <c r="M5" s="1">
        <f>AVERAGE(B20:B27)</f>
        <v>22.598983164931742</v>
      </c>
      <c r="N5" s="1">
        <f>AVERAGE(B28)</f>
        <v>21.430121527777779</v>
      </c>
      <c r="O5" s="1">
        <f>AVERAGE(B29:B30)</f>
        <v>19.480537414326594</v>
      </c>
      <c r="P5" s="1">
        <f>AVERAGE(B31)</f>
        <v>24.256825326105798</v>
      </c>
    </row>
    <row r="6" spans="1:17" s="4" customFormat="1" x14ac:dyDescent="0.25">
      <c r="A6" s="8">
        <v>165</v>
      </c>
      <c r="B6" s="9">
        <f>'udaje z dotaznika'!F18</f>
        <v>29.384756657483933</v>
      </c>
      <c r="C6" s="8" t="str">
        <f>'udaje z dotaznika'!G18</f>
        <v>nadváha</v>
      </c>
      <c r="H6" s="4" t="str">
        <f>IF(H5&gt;30,"obezita",IF(H5&gt;25,"nadváha",IF(H5&gt;19,"normálna hmotnosť","podváha")))</f>
        <v>nadváha</v>
      </c>
      <c r="I6" s="4" t="str">
        <f t="shared" ref="I6:P6" si="0">IF(I5&gt;30,"obezita",IF(I5&gt;25,"nadváha",IF(I5&gt;19,"normálna hmotnosť","podváha")))</f>
        <v>nadváha</v>
      </c>
      <c r="J6" s="4" t="str">
        <f t="shared" si="0"/>
        <v>normálna hmotnosť</v>
      </c>
      <c r="K6" s="4" t="str">
        <f t="shared" si="0"/>
        <v>nadváha</v>
      </c>
      <c r="L6" s="4" t="str">
        <f t="shared" si="0"/>
        <v>nadváha</v>
      </c>
      <c r="M6" s="4" t="str">
        <f t="shared" si="0"/>
        <v>normálna hmotnosť</v>
      </c>
      <c r="N6" s="4" t="str">
        <f t="shared" si="0"/>
        <v>normálna hmotnosť</v>
      </c>
      <c r="O6" s="4" t="str">
        <f t="shared" si="0"/>
        <v>normálna hmotnosť</v>
      </c>
      <c r="P6" s="4" t="str">
        <f t="shared" si="0"/>
        <v>normálna hmotnosť</v>
      </c>
    </row>
    <row r="7" spans="1:17" x14ac:dyDescent="0.25">
      <c r="A7" s="4">
        <v>167</v>
      </c>
      <c r="B7" s="5">
        <f>'udaje z dotaznika'!F26</f>
        <v>21.513858510523864</v>
      </c>
      <c r="C7" s="4" t="str">
        <f>'udaje z dotaznika'!G26</f>
        <v>normálna hmotnosť</v>
      </c>
    </row>
    <row r="8" spans="1:17" x14ac:dyDescent="0.25">
      <c r="A8" s="4">
        <v>168</v>
      </c>
      <c r="B8" s="5">
        <f>'udaje z dotaznika'!F16</f>
        <v>31.887755102040821</v>
      </c>
      <c r="C8" s="4" t="str">
        <f>'udaje z dotaznika'!G16</f>
        <v>obezita</v>
      </c>
      <c r="G8" t="s">
        <v>44</v>
      </c>
      <c r="H8">
        <f>CORREL(A2:A31,B2:B31)</f>
        <v>-0.56073045990696357</v>
      </c>
    </row>
    <row r="9" spans="1:17" x14ac:dyDescent="0.25">
      <c r="A9" s="2">
        <v>169</v>
      </c>
      <c r="B9" s="3">
        <f>'udaje z dotaznika'!F23</f>
        <v>27.309968138370508</v>
      </c>
      <c r="C9" s="2" t="str">
        <f>'udaje z dotaznika'!G23</f>
        <v>nadváha</v>
      </c>
    </row>
    <row r="10" spans="1:17" x14ac:dyDescent="0.25">
      <c r="A10" s="4">
        <v>170</v>
      </c>
      <c r="B10" s="5">
        <f>'udaje z dotaznika'!F6</f>
        <v>25.605536332179934</v>
      </c>
      <c r="C10" s="4" t="str">
        <f>'udaje z dotaznika'!G6</f>
        <v>nadváha</v>
      </c>
    </row>
    <row r="11" spans="1:17" x14ac:dyDescent="0.25">
      <c r="A11" s="4">
        <v>170</v>
      </c>
      <c r="B11" s="5">
        <f>'udaje z dotaznika'!F30</f>
        <v>30.795847750865054</v>
      </c>
      <c r="C11" s="4" t="str">
        <f>'udaje z dotaznika'!G30</f>
        <v>obezita</v>
      </c>
    </row>
    <row r="12" spans="1:17" x14ac:dyDescent="0.25">
      <c r="A12" s="4">
        <v>170</v>
      </c>
      <c r="B12" s="5">
        <f>'udaje z dotaznika'!F31</f>
        <v>23.183391003460208</v>
      </c>
      <c r="C12" s="4" t="str">
        <f>'udaje z dotaznika'!G31</f>
        <v>normálna hmotnosť</v>
      </c>
    </row>
    <row r="13" spans="1:17" x14ac:dyDescent="0.25">
      <c r="A13" s="4">
        <v>173</v>
      </c>
      <c r="B13" s="5">
        <f>'udaje z dotaznika'!F7</f>
        <v>24.391058839252899</v>
      </c>
      <c r="C13" s="4" t="str">
        <f>'udaje z dotaznika'!G7</f>
        <v>normálna hmotnosť</v>
      </c>
    </row>
    <row r="14" spans="1:17" x14ac:dyDescent="0.25">
      <c r="A14" s="4">
        <v>173</v>
      </c>
      <c r="B14" s="5">
        <f>'udaje z dotaznika'!F14</f>
        <v>20.715693808680545</v>
      </c>
      <c r="C14" s="4" t="str">
        <f>'udaje z dotaznika'!G14</f>
        <v>normálna hmotnosť</v>
      </c>
    </row>
    <row r="15" spans="1:17" x14ac:dyDescent="0.25">
      <c r="A15" s="2">
        <v>174</v>
      </c>
      <c r="B15" s="3">
        <f>'udaje z dotaznika'!F22</f>
        <v>22.460034350640772</v>
      </c>
      <c r="C15" s="2" t="str">
        <f>'udaje z dotaznika'!G22</f>
        <v>normálna hmotnosť</v>
      </c>
    </row>
    <row r="16" spans="1:17" x14ac:dyDescent="0.25">
      <c r="A16" s="4">
        <v>178</v>
      </c>
      <c r="B16" s="5">
        <f>'udaje z dotaznika'!F13</f>
        <v>21.461936624163616</v>
      </c>
      <c r="C16" s="4" t="str">
        <f>'udaje z dotaznika'!G13</f>
        <v>normálna hmotnosť</v>
      </c>
    </row>
    <row r="17" spans="1:3" x14ac:dyDescent="0.25">
      <c r="A17" s="4">
        <v>179</v>
      </c>
      <c r="B17" s="5">
        <f>'udaje z dotaznika'!F19</f>
        <v>30.273711806747606</v>
      </c>
      <c r="C17" s="4" t="str">
        <f>'udaje z dotaznika'!G19</f>
        <v>obezita</v>
      </c>
    </row>
    <row r="18" spans="1:3" x14ac:dyDescent="0.25">
      <c r="A18" s="2">
        <v>179</v>
      </c>
      <c r="B18" s="3">
        <f>'udaje z dotaznika'!F29</f>
        <v>27.776910832995224</v>
      </c>
      <c r="C18" s="2" t="str">
        <f>'udaje z dotaznika'!G29</f>
        <v>nadváha</v>
      </c>
    </row>
    <row r="19" spans="1:3" x14ac:dyDescent="0.25">
      <c r="A19" s="6">
        <v>182</v>
      </c>
      <c r="B19" s="7">
        <f>'udaje z dotaznika'!F4</f>
        <v>28.076319285110493</v>
      </c>
      <c r="C19" s="6" t="str">
        <f>'udaje z dotaznika'!G4</f>
        <v>nadváha</v>
      </c>
    </row>
    <row r="20" spans="1:3" x14ac:dyDescent="0.25">
      <c r="A20" s="4">
        <v>185</v>
      </c>
      <c r="B20" s="5">
        <f>'udaje z dotaznika'!F2</f>
        <v>26.004382761139514</v>
      </c>
      <c r="C20" s="4" t="str">
        <f>'udaje z dotaznika'!G2</f>
        <v>nadváha</v>
      </c>
    </row>
    <row r="21" spans="1:3" x14ac:dyDescent="0.25">
      <c r="A21" s="4">
        <v>185</v>
      </c>
      <c r="B21" s="5">
        <f>'udaje z dotaznika'!F8</f>
        <v>24.251278305332356</v>
      </c>
      <c r="C21" s="4" t="str">
        <f>'udaje z dotaznika'!G8</f>
        <v>normálna hmotnosť</v>
      </c>
    </row>
    <row r="22" spans="1:3" x14ac:dyDescent="0.25">
      <c r="A22" s="4">
        <v>185</v>
      </c>
      <c r="B22" s="5">
        <f>'udaje z dotaznika'!F12</f>
        <v>23.082542001460919</v>
      </c>
      <c r="C22" s="4" t="str">
        <f>'udaje z dotaznika'!G12</f>
        <v>normálna hmotnosť</v>
      </c>
    </row>
    <row r="23" spans="1:3" x14ac:dyDescent="0.25">
      <c r="A23" s="4">
        <v>186</v>
      </c>
      <c r="B23" s="5">
        <f>'udaje z dotaznika'!F20</f>
        <v>20.233553011908889</v>
      </c>
      <c r="C23" s="4" t="str">
        <f>'udaje z dotaznika'!G20</f>
        <v>normálna hmotnosť</v>
      </c>
    </row>
    <row r="24" spans="1:3" x14ac:dyDescent="0.25">
      <c r="A24" s="4">
        <v>187</v>
      </c>
      <c r="B24" s="5">
        <f>'udaje z dotaznika'!F15</f>
        <v>22.877405702193368</v>
      </c>
      <c r="C24" s="4" t="str">
        <f>'udaje z dotaznika'!G15</f>
        <v>normálna hmotnosť</v>
      </c>
    </row>
    <row r="25" spans="1:3" x14ac:dyDescent="0.25">
      <c r="A25" s="4">
        <v>187</v>
      </c>
      <c r="B25" s="5">
        <f>'udaje z dotaznika'!F21</f>
        <v>22.59143813091595</v>
      </c>
      <c r="C25" s="4" t="str">
        <f>'udaje z dotaznika'!G21</f>
        <v>normálna hmotnosť</v>
      </c>
    </row>
    <row r="26" spans="1:3" x14ac:dyDescent="0.25">
      <c r="A26" s="4">
        <v>187</v>
      </c>
      <c r="B26" s="5">
        <f>'udaje z dotaznika'!F25</f>
        <v>22.305470559638533</v>
      </c>
      <c r="C26" s="4" t="str">
        <f>'udaje z dotaznika'!G25</f>
        <v>normálna hmotnosť</v>
      </c>
    </row>
    <row r="27" spans="1:3" x14ac:dyDescent="0.25">
      <c r="A27" s="2">
        <v>187</v>
      </c>
      <c r="B27" s="3">
        <f>'udaje z dotaznika'!F27</f>
        <v>19.445794846864363</v>
      </c>
      <c r="C27" s="2" t="str">
        <f>'udaje z dotaznika'!G27</f>
        <v>normálna hmotnosť</v>
      </c>
    </row>
    <row r="28" spans="1:3" x14ac:dyDescent="0.25">
      <c r="A28" s="6">
        <v>192</v>
      </c>
      <c r="B28" s="7">
        <f>'udaje z dotaznika'!F17</f>
        <v>21.430121527777779</v>
      </c>
      <c r="C28" s="6" t="str">
        <f>'udaje z dotaznika'!G17</f>
        <v>normálna hmotnosť</v>
      </c>
    </row>
    <row r="29" spans="1:3" x14ac:dyDescent="0.25">
      <c r="A29" s="4">
        <v>197</v>
      </c>
      <c r="B29" s="5">
        <f>'udaje z dotaznika'!F9</f>
        <v>18.810069829163339</v>
      </c>
      <c r="C29" s="4" t="str">
        <f>'udaje z dotaznika'!G9</f>
        <v>podváha</v>
      </c>
    </row>
    <row r="30" spans="1:3" x14ac:dyDescent="0.25">
      <c r="A30" s="2">
        <v>198</v>
      </c>
      <c r="B30" s="3">
        <f>'udaje z dotaznika'!F28</f>
        <v>20.151004999489849</v>
      </c>
      <c r="C30" s="2" t="str">
        <f>'udaje z dotaznika'!G28</f>
        <v>normálna hmotnosť</v>
      </c>
    </row>
    <row r="31" spans="1:3" x14ac:dyDescent="0.25">
      <c r="A31" s="4">
        <v>201</v>
      </c>
      <c r="B31" s="5">
        <f>'udaje z dotaznika'!F10</f>
        <v>24.256825326105798</v>
      </c>
      <c r="C31" s="4" t="str">
        <f>'udaje z dotaznika'!G10</f>
        <v>normálna hmotnosť</v>
      </c>
    </row>
  </sheetData>
  <autoFilter ref="A1:A31"/>
  <sortState ref="A2:C31">
    <sortCondition ref="A2:A31"/>
  </sortState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H7" sqref="H7"/>
    </sheetView>
  </sheetViews>
  <sheetFormatPr defaultRowHeight="15" x14ac:dyDescent="0.25"/>
  <cols>
    <col min="1" max="1" width="13.140625" customWidth="1"/>
    <col min="11" max="11" width="11.85546875" bestFit="1" customWidth="1"/>
    <col min="12" max="12" width="9.7109375" customWidth="1"/>
    <col min="13" max="13" width="11.85546875" bestFit="1" customWidth="1"/>
  </cols>
  <sheetData>
    <row r="1" spans="1:16" x14ac:dyDescent="0.25">
      <c r="A1" t="s">
        <v>1</v>
      </c>
      <c r="B1" t="s">
        <v>11</v>
      </c>
    </row>
    <row r="2" spans="1:16" x14ac:dyDescent="0.25">
      <c r="A2">
        <v>60</v>
      </c>
      <c r="B2" s="1">
        <f>'udaje z dotaznika'!F26</f>
        <v>21.513858510523864</v>
      </c>
      <c r="C2" t="str">
        <f>'udaje z dotaznika'!G26</f>
        <v>normálna hmotnosť</v>
      </c>
    </row>
    <row r="3" spans="1:16" x14ac:dyDescent="0.25">
      <c r="A3">
        <v>62</v>
      </c>
      <c r="B3" s="1">
        <f>'udaje z dotaznika'!F14</f>
        <v>20.715693808680545</v>
      </c>
      <c r="C3" t="str">
        <f>'udaje z dotaznika'!G14</f>
        <v>normálna hmotnosť</v>
      </c>
      <c r="G3" t="s">
        <v>1</v>
      </c>
      <c r="H3" t="s">
        <v>23</v>
      </c>
      <c r="I3" t="s">
        <v>24</v>
      </c>
      <c r="J3" t="s">
        <v>25</v>
      </c>
      <c r="K3" t="s">
        <v>26</v>
      </c>
      <c r="L3" t="s">
        <v>27</v>
      </c>
      <c r="M3" t="s">
        <v>28</v>
      </c>
      <c r="N3" t="s">
        <v>29</v>
      </c>
      <c r="O3" t="s">
        <v>30</v>
      </c>
    </row>
    <row r="4" spans="1:16" x14ac:dyDescent="0.25">
      <c r="A4" s="2">
        <v>63</v>
      </c>
      <c r="B4" s="3">
        <f>'udaje z dotaznika'!F11</f>
        <v>24.005486968449926</v>
      </c>
      <c r="C4" s="2" t="str">
        <f>'udaje z dotaznika'!G11</f>
        <v>normálna hmotnosť</v>
      </c>
      <c r="G4" t="s">
        <v>13</v>
      </c>
      <c r="H4">
        <f>COUNTIFS(A2:A31,"&gt;=60",A2:A31,"&lt;=64")</f>
        <v>3</v>
      </c>
      <c r="I4">
        <f>COUNTIFS(A2:A31,"&gt;=65",A2:A31,"&lt;=69")</f>
        <v>5</v>
      </c>
      <c r="J4">
        <f>COUNTIFS(A2:A31,"&gt;=70",A2:A31,"&lt;=74")</f>
        <v>5</v>
      </c>
      <c r="K4">
        <f>COUNTIFS(A2:A31,"&gt;=75",A2:A31,"&lt;=79")</f>
        <v>6</v>
      </c>
      <c r="L4">
        <f>COUNTIFS(A2:A31,"&gt;=80",A2:A31,"&lt;=84")</f>
        <v>4</v>
      </c>
      <c r="M4">
        <f>COUNTIFS(A2:A31,"&gt;=85",A2:A31,"&lt;=89")</f>
        <v>3</v>
      </c>
      <c r="N4">
        <f>COUNTIFS(A2:A31,"&gt;=90",A2:A31,"&lt;=94")</f>
        <v>2</v>
      </c>
      <c r="O4">
        <f>COUNTIFS(A2:A31,"&gt;=95",A2:A31,"&lt;=99")</f>
        <v>2</v>
      </c>
      <c r="P4">
        <f>SUM(H4:O4)</f>
        <v>30</v>
      </c>
    </row>
    <row r="5" spans="1:16" x14ac:dyDescent="0.25">
      <c r="A5">
        <v>67</v>
      </c>
      <c r="B5" s="1">
        <f>'udaje z dotaznika'!F31</f>
        <v>23.183391003460208</v>
      </c>
      <c r="C5" t="str">
        <f>'udaje z dotaznika'!G31</f>
        <v>normálna hmotnosť</v>
      </c>
      <c r="G5" t="s">
        <v>11</v>
      </c>
      <c r="H5" s="1">
        <f>AVERAGE(B2:B4)</f>
        <v>22.078346429218112</v>
      </c>
      <c r="I5" s="1">
        <f>AVERAGE(B5:B9)</f>
        <v>22.622731365025793</v>
      </c>
      <c r="J5" s="1">
        <f>AVERAGE(B10:B14)</f>
        <v>23.303169501104652</v>
      </c>
      <c r="K5" s="1">
        <f>AVERAGE(B15:B20)</f>
        <v>22.811757559608925</v>
      </c>
      <c r="L5" s="1">
        <f>AVERAGE(B21:B24)</f>
        <v>27.229899458717981</v>
      </c>
      <c r="M5" s="1">
        <f>AVERAGE(B25:B27)</f>
        <v>28.192380448333264</v>
      </c>
      <c r="N5" s="1">
        <f>AVERAGE(B28:B29)</f>
        <v>29.982037193575657</v>
      </c>
      <c r="O5" s="1">
        <f>AVERAGE(B30:B31)</f>
        <v>27.265268566426702</v>
      </c>
    </row>
    <row r="6" spans="1:16" x14ac:dyDescent="0.25">
      <c r="A6">
        <v>68</v>
      </c>
      <c r="B6" s="1">
        <f>'udaje z dotaznika'!F13</f>
        <v>21.461936624163616</v>
      </c>
      <c r="C6" t="str">
        <f>'udaje z dotaznika'!G13</f>
        <v>normálna hmotnosť</v>
      </c>
      <c r="H6" t="str">
        <f>IF(H5&gt;30,"obezita",IF(H5&gt;25,"nadváha",IF(H5&gt;19,"normálna hmotnosť","podváha")))</f>
        <v>normálna hmotnosť</v>
      </c>
      <c r="I6" t="str">
        <f t="shared" ref="I6:O6" si="0">IF(I5&gt;30,"obezita",IF(I5&gt;25,"nadváha",IF(I5&gt;19,"normálna hmotnosť","podváha")))</f>
        <v>normálna hmotnosť</v>
      </c>
      <c r="J6" t="str">
        <f t="shared" si="0"/>
        <v>normálna hmotnosť</v>
      </c>
      <c r="K6" t="str">
        <f t="shared" si="0"/>
        <v>normálna hmotnosť</v>
      </c>
      <c r="L6" t="str">
        <f t="shared" si="0"/>
        <v>nadváha</v>
      </c>
      <c r="M6" t="str">
        <f t="shared" si="0"/>
        <v>nadváha</v>
      </c>
      <c r="N6" t="str">
        <f t="shared" si="0"/>
        <v>nadváha</v>
      </c>
      <c r="O6" t="str">
        <f t="shared" si="0"/>
        <v>nadváha</v>
      </c>
    </row>
    <row r="7" spans="1:16" x14ac:dyDescent="0.25">
      <c r="A7">
        <v>68</v>
      </c>
      <c r="B7" s="1">
        <f>'udaje z dotaznika'!F22</f>
        <v>22.460034350640772</v>
      </c>
      <c r="C7" t="str">
        <f>'udaje z dotaznika'!G22</f>
        <v>normálna hmotnosť</v>
      </c>
    </row>
    <row r="8" spans="1:16" x14ac:dyDescent="0.25">
      <c r="A8">
        <v>68</v>
      </c>
      <c r="B8" s="1">
        <f>'udaje z dotaznika'!F24</f>
        <v>26.562499999999996</v>
      </c>
      <c r="C8" t="str">
        <f>'udaje z dotaznika'!G24</f>
        <v>nadváha</v>
      </c>
    </row>
    <row r="9" spans="1:16" x14ac:dyDescent="0.25">
      <c r="A9" s="2">
        <v>68</v>
      </c>
      <c r="B9" s="3">
        <f>'udaje z dotaznika'!F27</f>
        <v>19.445794846864363</v>
      </c>
      <c r="C9" s="2" t="str">
        <f>'udaje z dotaznika'!G27</f>
        <v>normálna hmotnosť</v>
      </c>
    </row>
    <row r="10" spans="1:16" x14ac:dyDescent="0.25">
      <c r="A10">
        <v>70</v>
      </c>
      <c r="B10" s="1">
        <f>'udaje z dotaznika'!F20</f>
        <v>20.233553011908889</v>
      </c>
      <c r="C10" t="str">
        <f>'udaje z dotaznika'!G20</f>
        <v>normálna hmotnosť</v>
      </c>
    </row>
    <row r="11" spans="1:16" x14ac:dyDescent="0.25">
      <c r="A11">
        <v>73</v>
      </c>
      <c r="B11" s="1">
        <f>'udaje z dotaznika'!F3</f>
        <v>27.475629493018182</v>
      </c>
      <c r="C11" t="str">
        <f>'udaje z dotaznika'!G3</f>
        <v>nadváha</v>
      </c>
    </row>
    <row r="12" spans="1:16" x14ac:dyDescent="0.25">
      <c r="A12">
        <v>73</v>
      </c>
      <c r="B12" s="1">
        <f>'udaje z dotaznika'!F7</f>
        <v>24.391058839252899</v>
      </c>
      <c r="C12" t="str">
        <f>'udaje z dotaznika'!G7</f>
        <v>normálna hmotnosť</v>
      </c>
    </row>
    <row r="13" spans="1:16" x14ac:dyDescent="0.25">
      <c r="A13">
        <v>73</v>
      </c>
      <c r="B13" s="1">
        <f>'udaje z dotaznika'!F9</f>
        <v>18.810069829163339</v>
      </c>
      <c r="C13" t="str">
        <f>'udaje z dotaznika'!G9</f>
        <v>podváha</v>
      </c>
    </row>
    <row r="14" spans="1:16" x14ac:dyDescent="0.25">
      <c r="A14" s="2">
        <v>74</v>
      </c>
      <c r="B14" s="3">
        <f>'udaje z dotaznika'!F6</f>
        <v>25.605536332179934</v>
      </c>
      <c r="C14" s="2" t="str">
        <f>'udaje z dotaznika'!G6</f>
        <v>nadváha</v>
      </c>
    </row>
    <row r="15" spans="1:16" x14ac:dyDescent="0.25">
      <c r="A15">
        <v>78</v>
      </c>
      <c r="B15" s="1">
        <f>'udaje z dotaznika'!F23</f>
        <v>27.309968138370508</v>
      </c>
      <c r="C15" t="str">
        <f>'udaje z dotaznika'!G23</f>
        <v>nadváha</v>
      </c>
    </row>
    <row r="16" spans="1:16" x14ac:dyDescent="0.25">
      <c r="A16">
        <v>78</v>
      </c>
      <c r="B16" s="1">
        <f>'udaje z dotaznika'!F25</f>
        <v>22.305470559638533</v>
      </c>
      <c r="C16" t="str">
        <f>'udaje z dotaznika'!G25</f>
        <v>normálna hmotnosť</v>
      </c>
    </row>
    <row r="17" spans="1:3" x14ac:dyDescent="0.25">
      <c r="A17">
        <v>79</v>
      </c>
      <c r="B17" s="1">
        <f>'udaje z dotaznika'!F12</f>
        <v>23.082542001460919</v>
      </c>
      <c r="C17" t="str">
        <f>'udaje z dotaznika'!G12</f>
        <v>normálna hmotnosť</v>
      </c>
    </row>
    <row r="18" spans="1:3" x14ac:dyDescent="0.25">
      <c r="A18">
        <v>79</v>
      </c>
      <c r="B18" s="1">
        <f>'udaje z dotaznika'!F17</f>
        <v>21.430121527777779</v>
      </c>
      <c r="C18" t="str">
        <f>'udaje z dotaznika'!G17</f>
        <v>normálna hmotnosť</v>
      </c>
    </row>
    <row r="19" spans="1:3" x14ac:dyDescent="0.25">
      <c r="A19">
        <v>79</v>
      </c>
      <c r="B19" s="1">
        <f>'udaje z dotaznika'!F21</f>
        <v>22.59143813091595</v>
      </c>
      <c r="C19" t="str">
        <f>'udaje z dotaznika'!G21</f>
        <v>normálna hmotnosť</v>
      </c>
    </row>
    <row r="20" spans="1:3" x14ac:dyDescent="0.25">
      <c r="A20" s="2">
        <v>79</v>
      </c>
      <c r="B20" s="3">
        <f>'udaje z dotaznika'!F28</f>
        <v>20.151004999489849</v>
      </c>
      <c r="C20" s="2" t="str">
        <f>'udaje z dotaznika'!G28</f>
        <v>normálna hmotnosť</v>
      </c>
    </row>
    <row r="21" spans="1:3" x14ac:dyDescent="0.25">
      <c r="A21">
        <v>80</v>
      </c>
      <c r="B21" s="1">
        <f>'udaje z dotaznika'!F15</f>
        <v>22.877405702193368</v>
      </c>
      <c r="C21" t="str">
        <f>'udaje z dotaznika'!G15</f>
        <v>normálna hmotnosť</v>
      </c>
    </row>
    <row r="22" spans="1:3" x14ac:dyDescent="0.25">
      <c r="A22">
        <v>80</v>
      </c>
      <c r="B22" s="1">
        <f>'udaje z dotaznika'!F18</f>
        <v>29.384756657483933</v>
      </c>
      <c r="C22" t="str">
        <f>'udaje z dotaznika'!G18</f>
        <v>nadváha</v>
      </c>
    </row>
    <row r="23" spans="1:3" x14ac:dyDescent="0.25">
      <c r="A23">
        <v>83</v>
      </c>
      <c r="B23" s="1">
        <f>'udaje z dotaznika'!F8</f>
        <v>24.251278305332356</v>
      </c>
      <c r="C23" t="str">
        <f>'udaje z dotaznika'!G8</f>
        <v>normálna hmotnosť</v>
      </c>
    </row>
    <row r="24" spans="1:3" x14ac:dyDescent="0.25">
      <c r="A24" s="2">
        <v>84</v>
      </c>
      <c r="B24" s="3">
        <f>'udaje z dotaznika'!F5</f>
        <v>32.406157169862269</v>
      </c>
      <c r="C24" s="2" t="str">
        <f>'udaje z dotaznika'!G5</f>
        <v>obezita</v>
      </c>
    </row>
    <row r="25" spans="1:3" x14ac:dyDescent="0.25">
      <c r="A25">
        <v>89</v>
      </c>
      <c r="B25" s="1">
        <f>'udaje z dotaznika'!F2</f>
        <v>26.004382761139514</v>
      </c>
      <c r="C25" t="str">
        <f>'udaje z dotaznika'!G2</f>
        <v>nadváha</v>
      </c>
    </row>
    <row r="26" spans="1:3" x14ac:dyDescent="0.25">
      <c r="A26">
        <v>89</v>
      </c>
      <c r="B26" s="1">
        <f>'udaje z dotaznika'!F29</f>
        <v>27.776910832995224</v>
      </c>
      <c r="C26" t="str">
        <f>'udaje z dotaznika'!G29</f>
        <v>nadváha</v>
      </c>
    </row>
    <row r="27" spans="1:3" x14ac:dyDescent="0.25">
      <c r="A27" s="2">
        <v>89</v>
      </c>
      <c r="B27" s="3">
        <f>'udaje z dotaznika'!F30</f>
        <v>30.795847750865054</v>
      </c>
      <c r="C27" s="2" t="str">
        <f>'udaje z dotaznika'!G30</f>
        <v>obezita</v>
      </c>
    </row>
    <row r="28" spans="1:3" x14ac:dyDescent="0.25">
      <c r="A28">
        <v>90</v>
      </c>
      <c r="B28" s="1">
        <f>'udaje z dotaznika'!F16</f>
        <v>31.887755102040821</v>
      </c>
      <c r="C28" t="str">
        <f>'udaje z dotaznika'!G16</f>
        <v>obezita</v>
      </c>
    </row>
    <row r="29" spans="1:3" x14ac:dyDescent="0.25">
      <c r="A29" s="2">
        <v>93</v>
      </c>
      <c r="B29" s="3">
        <f>'udaje z dotaznika'!F4</f>
        <v>28.076319285110493</v>
      </c>
      <c r="C29" s="2" t="str">
        <f>'udaje z dotaznika'!G4</f>
        <v>nadváha</v>
      </c>
    </row>
    <row r="30" spans="1:3" x14ac:dyDescent="0.25">
      <c r="A30">
        <v>97</v>
      </c>
      <c r="B30" s="1">
        <f>'udaje z dotaznika'!F19</f>
        <v>30.273711806747606</v>
      </c>
      <c r="C30" t="str">
        <f>'udaje z dotaznika'!G19</f>
        <v>obezita</v>
      </c>
    </row>
    <row r="31" spans="1:3" x14ac:dyDescent="0.25">
      <c r="A31">
        <v>98</v>
      </c>
      <c r="B31" s="1">
        <f>'udaje z dotaznika'!F10</f>
        <v>24.256825326105798</v>
      </c>
      <c r="C31" t="str">
        <f>'udaje z dotaznika'!G10</f>
        <v>normálna hmotnosť</v>
      </c>
    </row>
  </sheetData>
  <sortState ref="A2:C31">
    <sortCondition ref="A2:A31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activeCell="P20" sqref="P20"/>
    </sheetView>
  </sheetViews>
  <sheetFormatPr defaultRowHeight="15" x14ac:dyDescent="0.25"/>
  <cols>
    <col min="1" max="1" width="11.42578125" customWidth="1"/>
    <col min="7" max="7" width="13.7109375" customWidth="1"/>
  </cols>
  <sheetData>
    <row r="1" spans="1:9" x14ac:dyDescent="0.25">
      <c r="A1" t="s">
        <v>3</v>
      </c>
    </row>
    <row r="2" spans="1:9" x14ac:dyDescent="0.25">
      <c r="A2" t="s">
        <v>9</v>
      </c>
      <c r="B2" s="1">
        <f>'udaje z dotaznika'!F2</f>
        <v>26.004382761139514</v>
      </c>
      <c r="C2" t="str">
        <f>'udaje z dotaznika'!G2</f>
        <v>nadváha</v>
      </c>
    </row>
    <row r="3" spans="1:9" x14ac:dyDescent="0.25">
      <c r="A3" t="s">
        <v>9</v>
      </c>
      <c r="B3" s="1">
        <f>'udaje z dotaznika'!F3</f>
        <v>27.475629493018182</v>
      </c>
      <c r="C3" t="str">
        <f>'udaje z dotaznika'!G3</f>
        <v>nadváha</v>
      </c>
    </row>
    <row r="4" spans="1:9" x14ac:dyDescent="0.25">
      <c r="A4" t="s">
        <v>9</v>
      </c>
      <c r="B4" s="1">
        <f>'udaje z dotaznika'!F4</f>
        <v>28.076319285110493</v>
      </c>
      <c r="C4" t="str">
        <f>'udaje z dotaznika'!G4</f>
        <v>nadváha</v>
      </c>
      <c r="H4" t="s">
        <v>31</v>
      </c>
      <c r="I4" t="s">
        <v>32</v>
      </c>
    </row>
    <row r="5" spans="1:9" x14ac:dyDescent="0.25">
      <c r="A5" t="s">
        <v>9</v>
      </c>
      <c r="B5" s="1">
        <f>'udaje z dotaznika'!F5</f>
        <v>32.406157169862269</v>
      </c>
      <c r="C5" t="str">
        <f>'udaje z dotaznika'!G5</f>
        <v>obezita</v>
      </c>
      <c r="G5" t="s">
        <v>13</v>
      </c>
      <c r="H5">
        <f>COUNTIF(A:A,"m")</f>
        <v>13</v>
      </c>
      <c r="I5">
        <f>COUNTIF(A:A,"z")</f>
        <v>17</v>
      </c>
    </row>
    <row r="6" spans="1:9" x14ac:dyDescent="0.25">
      <c r="A6" t="s">
        <v>9</v>
      </c>
      <c r="B6" s="1">
        <f>'udaje z dotaznika'!F10</f>
        <v>24.256825326105798</v>
      </c>
      <c r="C6" t="str">
        <f>'udaje z dotaznika'!G10</f>
        <v>normálna hmotnosť</v>
      </c>
      <c r="G6" t="s">
        <v>12</v>
      </c>
      <c r="H6" s="1">
        <f>AVERAGE(B2:B14)</f>
        <v>24.532840451534526</v>
      </c>
      <c r="I6" s="1">
        <f>AVERAGE(B15:B31)</f>
        <v>24.811736106228686</v>
      </c>
    </row>
    <row r="7" spans="1:9" x14ac:dyDescent="0.25">
      <c r="A7" t="s">
        <v>9</v>
      </c>
      <c r="B7" s="1">
        <f>'udaje z dotaznika'!F13</f>
        <v>21.461936624163616</v>
      </c>
      <c r="C7" t="str">
        <f>'udaje z dotaznika'!G13</f>
        <v>normálna hmotnosť</v>
      </c>
      <c r="H7" t="str">
        <f>IF(H6&gt;30,"obezita",IF(H6&gt;25,"nadváha",IF(H6&gt;19,"normálna hmotnosť","podváha")))</f>
        <v>normálna hmotnosť</v>
      </c>
      <c r="I7" t="str">
        <f>IF(I6&gt;30,"obezita",IF(I6&gt;25,"nadváha",IF(I6&gt;19,"normálna hmotnosť","podváha")))</f>
        <v>normálna hmotnosť</v>
      </c>
    </row>
    <row r="8" spans="1:9" x14ac:dyDescent="0.25">
      <c r="A8" t="s">
        <v>9</v>
      </c>
      <c r="B8" s="1">
        <f>'udaje z dotaznika'!F17</f>
        <v>21.430121527777779</v>
      </c>
      <c r="C8" t="str">
        <f>'udaje z dotaznika'!G17</f>
        <v>normálna hmotnosť</v>
      </c>
    </row>
    <row r="9" spans="1:9" x14ac:dyDescent="0.25">
      <c r="A9" t="s">
        <v>9</v>
      </c>
      <c r="B9" s="1">
        <f>'udaje z dotaznika'!F19</f>
        <v>30.273711806747606</v>
      </c>
      <c r="C9" t="str">
        <f>'udaje z dotaznika'!G19</f>
        <v>obezita</v>
      </c>
    </row>
    <row r="10" spans="1:9" x14ac:dyDescent="0.25">
      <c r="A10" t="s">
        <v>9</v>
      </c>
      <c r="B10" s="1">
        <f>'udaje z dotaznika'!F20</f>
        <v>20.233553011908889</v>
      </c>
      <c r="C10" t="str">
        <f>'udaje z dotaznika'!G20</f>
        <v>normálna hmotnosť</v>
      </c>
    </row>
    <row r="11" spans="1:9" x14ac:dyDescent="0.25">
      <c r="A11" t="s">
        <v>9</v>
      </c>
      <c r="B11" s="1">
        <f>'udaje z dotaznika'!F22</f>
        <v>22.460034350640772</v>
      </c>
      <c r="C11" t="str">
        <f>'udaje z dotaznika'!G22</f>
        <v>normálna hmotnosť</v>
      </c>
    </row>
    <row r="12" spans="1:9" x14ac:dyDescent="0.25">
      <c r="A12" t="s">
        <v>9</v>
      </c>
      <c r="B12" s="1">
        <f>'udaje z dotaznika'!F26</f>
        <v>21.513858510523864</v>
      </c>
      <c r="C12" t="str">
        <f>'udaje z dotaznika'!G26</f>
        <v>normálna hmotnosť</v>
      </c>
    </row>
    <row r="13" spans="1:9" x14ac:dyDescent="0.25">
      <c r="A13" t="s">
        <v>9</v>
      </c>
      <c r="B13" s="1">
        <f>'udaje z dotaznika'!F28</f>
        <v>20.151004999489849</v>
      </c>
      <c r="C13" t="str">
        <f>'udaje z dotaznika'!G28</f>
        <v>normálna hmotnosť</v>
      </c>
    </row>
    <row r="14" spans="1:9" x14ac:dyDescent="0.25">
      <c r="A14" s="2" t="s">
        <v>9</v>
      </c>
      <c r="B14" s="3">
        <f>'udaje z dotaznika'!F31</f>
        <v>23.183391003460208</v>
      </c>
      <c r="C14" s="2" t="str">
        <f>'udaje z dotaznika'!G31</f>
        <v>normálna hmotnosť</v>
      </c>
    </row>
    <row r="15" spans="1:9" x14ac:dyDescent="0.25">
      <c r="A15" t="s">
        <v>10</v>
      </c>
      <c r="B15" s="1">
        <f>'udaje z dotaznika'!F6</f>
        <v>25.605536332179934</v>
      </c>
      <c r="C15" t="str">
        <f>'udaje z dotaznika'!G6</f>
        <v>nadváha</v>
      </c>
    </row>
    <row r="16" spans="1:9" x14ac:dyDescent="0.25">
      <c r="A16" t="s">
        <v>10</v>
      </c>
      <c r="B16" s="1">
        <f>'udaje z dotaznika'!F7</f>
        <v>24.391058839252899</v>
      </c>
      <c r="C16" t="str">
        <f>'udaje z dotaznika'!G7</f>
        <v>normálna hmotnosť</v>
      </c>
    </row>
    <row r="17" spans="1:3" x14ac:dyDescent="0.25">
      <c r="A17" t="s">
        <v>10</v>
      </c>
      <c r="B17" s="1">
        <f>'udaje z dotaznika'!F8</f>
        <v>24.251278305332356</v>
      </c>
      <c r="C17" t="str">
        <f>'udaje z dotaznika'!G8</f>
        <v>normálna hmotnosť</v>
      </c>
    </row>
    <row r="18" spans="1:3" x14ac:dyDescent="0.25">
      <c r="A18" t="s">
        <v>10</v>
      </c>
      <c r="B18" s="1">
        <f>'udaje z dotaznika'!F9</f>
        <v>18.810069829163339</v>
      </c>
      <c r="C18" t="str">
        <f>'udaje z dotaznika'!G9</f>
        <v>podváha</v>
      </c>
    </row>
    <row r="19" spans="1:3" x14ac:dyDescent="0.25">
      <c r="A19" t="s">
        <v>10</v>
      </c>
      <c r="B19" s="1">
        <f>'udaje z dotaznika'!F11</f>
        <v>24.005486968449926</v>
      </c>
      <c r="C19" t="str">
        <f>'udaje z dotaznika'!G11</f>
        <v>normálna hmotnosť</v>
      </c>
    </row>
    <row r="20" spans="1:3" x14ac:dyDescent="0.25">
      <c r="A20" t="s">
        <v>10</v>
      </c>
      <c r="B20" s="1">
        <f>'udaje z dotaznika'!F12</f>
        <v>23.082542001460919</v>
      </c>
      <c r="C20" t="str">
        <f>'udaje z dotaznika'!G12</f>
        <v>normálna hmotnosť</v>
      </c>
    </row>
    <row r="21" spans="1:3" x14ac:dyDescent="0.25">
      <c r="A21" t="s">
        <v>10</v>
      </c>
      <c r="B21" s="1">
        <f>'udaje z dotaznika'!F14</f>
        <v>20.715693808680545</v>
      </c>
      <c r="C21" t="str">
        <f>'udaje z dotaznika'!G14</f>
        <v>normálna hmotnosť</v>
      </c>
    </row>
    <row r="22" spans="1:3" x14ac:dyDescent="0.25">
      <c r="A22" t="s">
        <v>10</v>
      </c>
      <c r="B22" s="1">
        <f>'udaje z dotaznika'!F15</f>
        <v>22.877405702193368</v>
      </c>
      <c r="C22" t="str">
        <f>'udaje z dotaznika'!G15</f>
        <v>normálna hmotnosť</v>
      </c>
    </row>
    <row r="23" spans="1:3" x14ac:dyDescent="0.25">
      <c r="A23" t="s">
        <v>10</v>
      </c>
      <c r="B23" s="1">
        <f>'udaje z dotaznika'!F16</f>
        <v>31.887755102040821</v>
      </c>
      <c r="C23" t="str">
        <f>'udaje z dotaznika'!G16</f>
        <v>obezita</v>
      </c>
    </row>
    <row r="24" spans="1:3" x14ac:dyDescent="0.25">
      <c r="A24" t="s">
        <v>10</v>
      </c>
      <c r="B24" s="1">
        <f>'udaje z dotaznika'!F18</f>
        <v>29.384756657483933</v>
      </c>
      <c r="C24" t="str">
        <f>'udaje z dotaznika'!G18</f>
        <v>nadváha</v>
      </c>
    </row>
    <row r="25" spans="1:3" x14ac:dyDescent="0.25">
      <c r="A25" t="s">
        <v>10</v>
      </c>
      <c r="B25" s="1">
        <f>'udaje z dotaznika'!F21</f>
        <v>22.59143813091595</v>
      </c>
      <c r="C25" t="str">
        <f>'udaje z dotaznika'!G21</f>
        <v>normálna hmotnosť</v>
      </c>
    </row>
    <row r="26" spans="1:3" x14ac:dyDescent="0.25">
      <c r="A26" t="s">
        <v>10</v>
      </c>
      <c r="B26" s="1">
        <f>'udaje z dotaznika'!F23</f>
        <v>27.309968138370508</v>
      </c>
      <c r="C26" t="str">
        <f>'udaje z dotaznika'!G23</f>
        <v>nadváha</v>
      </c>
    </row>
    <row r="27" spans="1:3" x14ac:dyDescent="0.25">
      <c r="A27" t="s">
        <v>10</v>
      </c>
      <c r="B27" s="1">
        <f>'udaje z dotaznika'!F24</f>
        <v>26.562499999999996</v>
      </c>
      <c r="C27" t="str">
        <f>'udaje z dotaznika'!G24</f>
        <v>nadváha</v>
      </c>
    </row>
    <row r="28" spans="1:3" x14ac:dyDescent="0.25">
      <c r="A28" t="s">
        <v>10</v>
      </c>
      <c r="B28" s="1">
        <f>'udaje z dotaznika'!F25</f>
        <v>22.305470559638533</v>
      </c>
      <c r="C28" t="str">
        <f>'udaje z dotaznika'!G25</f>
        <v>normálna hmotnosť</v>
      </c>
    </row>
    <row r="29" spans="1:3" x14ac:dyDescent="0.25">
      <c r="A29" t="s">
        <v>10</v>
      </c>
      <c r="B29" s="1">
        <f>'udaje z dotaznika'!F27</f>
        <v>19.445794846864363</v>
      </c>
      <c r="C29" t="str">
        <f>'udaje z dotaznika'!G27</f>
        <v>normálna hmotnosť</v>
      </c>
    </row>
    <row r="30" spans="1:3" x14ac:dyDescent="0.25">
      <c r="A30" t="s">
        <v>10</v>
      </c>
      <c r="B30" s="1">
        <f>'udaje z dotaznika'!F29</f>
        <v>27.776910832995224</v>
      </c>
      <c r="C30" t="str">
        <f>'udaje z dotaznika'!G29</f>
        <v>nadváha</v>
      </c>
    </row>
    <row r="31" spans="1:3" x14ac:dyDescent="0.25">
      <c r="A31" t="s">
        <v>10</v>
      </c>
      <c r="B31" s="1">
        <f>'udaje z dotaznika'!F30</f>
        <v>30.795847750865054</v>
      </c>
      <c r="C31" t="str">
        <f>'udaje z dotaznika'!G30</f>
        <v>obezita</v>
      </c>
    </row>
  </sheetData>
  <sortState ref="A2:C31">
    <sortCondition ref="A2:A31"/>
  </sortState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H9" sqref="H9"/>
    </sheetView>
  </sheetViews>
  <sheetFormatPr defaultRowHeight="15" x14ac:dyDescent="0.25"/>
  <cols>
    <col min="7" max="7" width="19.140625" customWidth="1"/>
  </cols>
  <sheetData>
    <row r="1" spans="1:19" x14ac:dyDescent="0.25">
      <c r="A1" t="s">
        <v>2</v>
      </c>
      <c r="B1" t="s">
        <v>11</v>
      </c>
    </row>
    <row r="2" spans="1:19" x14ac:dyDescent="0.25">
      <c r="A2" s="2">
        <v>16</v>
      </c>
      <c r="B2" s="3">
        <f>'udaje z dotaznika'!F29</f>
        <v>27.776910832995224</v>
      </c>
      <c r="C2" s="2" t="str">
        <f>'udaje z dotaznika'!G29</f>
        <v>nadváha</v>
      </c>
    </row>
    <row r="3" spans="1:19" x14ac:dyDescent="0.25">
      <c r="A3" s="6">
        <v>20</v>
      </c>
      <c r="B3" s="7">
        <f>'udaje z dotaznika'!F26</f>
        <v>21.513858510523864</v>
      </c>
      <c r="C3" t="str">
        <f>'udaje z dotaznika'!G26</f>
        <v>normálna hmotnosť</v>
      </c>
    </row>
    <row r="4" spans="1:19" x14ac:dyDescent="0.25">
      <c r="A4">
        <v>26</v>
      </c>
      <c r="B4" s="1">
        <f>'udaje z dotaznika'!F24</f>
        <v>26.562499999999996</v>
      </c>
      <c r="C4" t="str">
        <f>'udaje z dotaznika'!G24</f>
        <v>nadváha</v>
      </c>
      <c r="H4" t="s">
        <v>41</v>
      </c>
      <c r="I4" t="s">
        <v>33</v>
      </c>
      <c r="J4" t="s">
        <v>34</v>
      </c>
      <c r="K4" t="s">
        <v>35</v>
      </c>
      <c r="L4" t="s">
        <v>36</v>
      </c>
      <c r="M4" t="s">
        <v>37</v>
      </c>
      <c r="N4" t="s">
        <v>38</v>
      </c>
      <c r="O4" t="s">
        <v>39</v>
      </c>
      <c r="P4" t="s">
        <v>40</v>
      </c>
      <c r="Q4" t="s">
        <v>23</v>
      </c>
      <c r="R4" t="s">
        <v>42</v>
      </c>
    </row>
    <row r="5" spans="1:19" x14ac:dyDescent="0.25">
      <c r="A5" s="2">
        <v>27</v>
      </c>
      <c r="B5" s="3">
        <f>'udaje z dotaznika'!F15</f>
        <v>22.877405702193368</v>
      </c>
      <c r="C5" t="str">
        <f>'udaje z dotaznika'!G15</f>
        <v>normálna hmotnosť</v>
      </c>
      <c r="G5" t="s">
        <v>13</v>
      </c>
      <c r="H5">
        <f>COUNTIFS(A2:A31,"&gt;=0",A2:A31,"&lt;=19")</f>
        <v>1</v>
      </c>
      <c r="I5">
        <f>COUNTIFS(A2:A31,"&gt;=20",A2:A31,"&lt;=24")</f>
        <v>1</v>
      </c>
      <c r="J5">
        <f>COUNTIFS(A2:A31,"&gt;=25",A2:A31,"&lt;=29")</f>
        <v>2</v>
      </c>
      <c r="K5">
        <f>COUNTIFS(A2:A31,"&gt;=30",A2:A31,"&lt;=34")</f>
        <v>4</v>
      </c>
      <c r="L5">
        <f>COUNTIFS(A2:A31,"&gt;=35",A2:A31,"&lt;=39")</f>
        <v>7</v>
      </c>
      <c r="M5">
        <f>COUNTIFS(A2:A31,"&gt;=40",A2:A31,"&lt;=44")</f>
        <v>1</v>
      </c>
      <c r="N5">
        <f>COUNTIFS(A2:A31,"&gt;=45",A2:A31,"&lt;=49")</f>
        <v>4</v>
      </c>
      <c r="O5">
        <f>COUNTIFS(A2:A31,"&gt;=50",A2:A31,"&lt;=54")</f>
        <v>4</v>
      </c>
      <c r="P5">
        <f>COUNTIFS(A2:A31,"&gt;=55",A2:A31,"&lt;=59")</f>
        <v>2</v>
      </c>
      <c r="Q5">
        <f>COUNTIFS(A2:A31,"&gt;=60",A2:A31,"&lt;=64")</f>
        <v>3</v>
      </c>
      <c r="R5">
        <f>COUNTIFS(A2:A31,"&gt;=65")</f>
        <v>1</v>
      </c>
      <c r="S5">
        <f>SUM(H5:R5)</f>
        <v>30</v>
      </c>
    </row>
    <row r="6" spans="1:19" x14ac:dyDescent="0.25">
      <c r="A6">
        <v>30</v>
      </c>
      <c r="B6" s="1">
        <f>'udaje z dotaznika'!F17</f>
        <v>21.430121527777779</v>
      </c>
      <c r="C6" t="str">
        <f>'udaje z dotaznika'!G17</f>
        <v>normálna hmotnosť</v>
      </c>
      <c r="G6" t="s">
        <v>12</v>
      </c>
      <c r="H6" s="1">
        <f>AVERAGE(B2)</f>
        <v>27.776910832995224</v>
      </c>
      <c r="I6" s="1">
        <f>AVERAGE(B3)</f>
        <v>21.513858510523864</v>
      </c>
      <c r="J6" s="1">
        <f>AVERAGE(B4:B5)</f>
        <v>24.719952851096682</v>
      </c>
      <c r="K6" s="1">
        <f>AVERAGE(B6:B9)</f>
        <v>24.025841478063537</v>
      </c>
      <c r="L6" s="1">
        <f>AVERAGE(B10:B16)</f>
        <v>23.924283448195386</v>
      </c>
      <c r="M6" s="1">
        <f>AVERAGE(B17)</f>
        <v>23.183391003460208</v>
      </c>
      <c r="N6" s="1">
        <f>AVERAGE(B18:B21)</f>
        <v>24.725886307957644</v>
      </c>
      <c r="O6" s="1">
        <f>AVERAGE(B22:B25)</f>
        <v>27.511104130514717</v>
      </c>
      <c r="P6" s="1">
        <f>AVERAGE(B26:B27)</f>
        <v>27.744349585661595</v>
      </c>
      <c r="Q6" s="1">
        <f>AVERAGE(B28:B30)</f>
        <v>23.550452550779834</v>
      </c>
      <c r="R6" s="1">
        <f>AVERAGE(B31)</f>
        <v>20.151004999489849</v>
      </c>
    </row>
    <row r="7" spans="1:19" x14ac:dyDescent="0.25">
      <c r="A7">
        <v>32</v>
      </c>
      <c r="B7" s="1">
        <f>'udaje z dotaznika'!F4</f>
        <v>28.076319285110493</v>
      </c>
      <c r="C7" t="str">
        <f>'udaje z dotaznika'!G4</f>
        <v>nadváha</v>
      </c>
      <c r="H7" t="str">
        <f>IF(H6&gt;30,"obezita",IF(H6&gt;25,"nadváha",IF(H6&gt;19,"normálna hmotnosť","podváha")))</f>
        <v>nadváha</v>
      </c>
      <c r="I7" t="str">
        <f t="shared" ref="I7:R7" si="0">IF(I6&gt;30,"obezita",IF(I6&gt;25,"nadváha",IF(I6&gt;19,"normálna hmotnosť","podváha")))</f>
        <v>normálna hmotnosť</v>
      </c>
      <c r="J7" t="str">
        <f t="shared" si="0"/>
        <v>normálna hmotnosť</v>
      </c>
      <c r="K7" t="str">
        <f t="shared" si="0"/>
        <v>normálna hmotnosť</v>
      </c>
      <c r="L7" t="str">
        <f t="shared" si="0"/>
        <v>normálna hmotnosť</v>
      </c>
      <c r="M7" t="str">
        <f t="shared" si="0"/>
        <v>normálna hmotnosť</v>
      </c>
      <c r="N7" t="str">
        <f t="shared" si="0"/>
        <v>normálna hmotnosť</v>
      </c>
      <c r="O7" t="str">
        <f t="shared" si="0"/>
        <v>nadváha</v>
      </c>
      <c r="P7" t="str">
        <f t="shared" si="0"/>
        <v>nadváha</v>
      </c>
      <c r="Q7" t="str">
        <f t="shared" si="0"/>
        <v>normálna hmotnosť</v>
      </c>
      <c r="R7" t="str">
        <f t="shared" si="0"/>
        <v>normálna hmotnosť</v>
      </c>
    </row>
    <row r="8" spans="1:19" x14ac:dyDescent="0.25">
      <c r="A8">
        <v>32</v>
      </c>
      <c r="B8" s="1">
        <f>'udaje z dotaznika'!F21</f>
        <v>22.59143813091595</v>
      </c>
      <c r="C8" t="str">
        <f>'udaje z dotaznika'!G21</f>
        <v>normálna hmotnosť</v>
      </c>
    </row>
    <row r="9" spans="1:19" x14ac:dyDescent="0.25">
      <c r="A9" s="2">
        <v>34</v>
      </c>
      <c r="B9" s="3">
        <f>'udaje z dotaznika'!F11</f>
        <v>24.005486968449926</v>
      </c>
      <c r="C9" t="str">
        <f>'udaje z dotaznika'!G11</f>
        <v>normálna hmotnosť</v>
      </c>
      <c r="G9" t="s">
        <v>44</v>
      </c>
      <c r="H9">
        <f>CORREL(A2:A31,B2:B31)</f>
        <v>3.1048673143236317E-2</v>
      </c>
    </row>
    <row r="10" spans="1:19" x14ac:dyDescent="0.25">
      <c r="A10">
        <v>35</v>
      </c>
      <c r="B10" s="1">
        <f>'udaje z dotaznika'!F20</f>
        <v>20.233553011908889</v>
      </c>
      <c r="C10" t="str">
        <f>'udaje z dotaznika'!G20</f>
        <v>normálna hmotnosť</v>
      </c>
    </row>
    <row r="11" spans="1:19" x14ac:dyDescent="0.25">
      <c r="A11">
        <v>35</v>
      </c>
      <c r="B11" s="1">
        <f>'udaje z dotaznika'!F25</f>
        <v>22.305470559638533</v>
      </c>
      <c r="C11" t="str">
        <f>'udaje z dotaznika'!G25</f>
        <v>normálna hmotnosť</v>
      </c>
    </row>
    <row r="12" spans="1:19" x14ac:dyDescent="0.25">
      <c r="A12">
        <v>36</v>
      </c>
      <c r="B12" s="1">
        <f>'udaje z dotaznika'!F27</f>
        <v>19.445794846864363</v>
      </c>
      <c r="C12" t="str">
        <f>'udaje z dotaznika'!G27</f>
        <v>normálna hmotnosť</v>
      </c>
    </row>
    <row r="13" spans="1:19" x14ac:dyDescent="0.25">
      <c r="A13">
        <v>37</v>
      </c>
      <c r="B13" s="1">
        <f>'udaje z dotaznika'!F6</f>
        <v>25.605536332179934</v>
      </c>
      <c r="C13" t="str">
        <f>'udaje z dotaznika'!G6</f>
        <v>nadváha</v>
      </c>
    </row>
    <row r="14" spans="1:19" x14ac:dyDescent="0.25">
      <c r="A14">
        <v>37</v>
      </c>
      <c r="B14" s="1">
        <f>'udaje z dotaznika'!F30</f>
        <v>30.795847750865054</v>
      </c>
      <c r="C14" t="str">
        <f>'udaje z dotaznika'!G30</f>
        <v>obezita</v>
      </c>
    </row>
    <row r="15" spans="1:19" x14ac:dyDescent="0.25">
      <c r="A15">
        <v>39</v>
      </c>
      <c r="B15" s="1">
        <f>'udaje z dotaznika'!F9</f>
        <v>18.810069829163339</v>
      </c>
      <c r="C15" t="str">
        <f>'udaje z dotaznika'!G9</f>
        <v>podváha</v>
      </c>
    </row>
    <row r="16" spans="1:19" x14ac:dyDescent="0.25">
      <c r="A16" s="2">
        <v>39</v>
      </c>
      <c r="B16" s="3">
        <f>'udaje z dotaznika'!F19</f>
        <v>30.273711806747606</v>
      </c>
      <c r="C16" t="str">
        <f>'udaje z dotaznika'!G19</f>
        <v>obezita</v>
      </c>
    </row>
    <row r="17" spans="1:3" x14ac:dyDescent="0.25">
      <c r="A17" s="2">
        <v>41</v>
      </c>
      <c r="B17" s="3">
        <f>'udaje z dotaznika'!F31</f>
        <v>23.183391003460208</v>
      </c>
      <c r="C17" t="str">
        <f>'udaje z dotaznika'!G31</f>
        <v>normálna hmotnosť</v>
      </c>
    </row>
    <row r="18" spans="1:3" x14ac:dyDescent="0.25">
      <c r="A18">
        <v>45</v>
      </c>
      <c r="B18" s="1">
        <f>'udaje z dotaznika'!F2</f>
        <v>26.004382761139514</v>
      </c>
      <c r="C18" t="str">
        <f>'udaje z dotaznika'!G2</f>
        <v>nadváha</v>
      </c>
    </row>
    <row r="19" spans="1:3" x14ac:dyDescent="0.25">
      <c r="A19">
        <v>47</v>
      </c>
      <c r="B19" s="1">
        <f>'udaje z dotaznika'!F10</f>
        <v>24.256825326105798</v>
      </c>
      <c r="C19" t="str">
        <f>'udaje z dotaznika'!G10</f>
        <v>normálna hmotnosť</v>
      </c>
    </row>
    <row r="20" spans="1:3" x14ac:dyDescent="0.25">
      <c r="A20">
        <v>48</v>
      </c>
      <c r="B20" s="1">
        <f>'udaje z dotaznika'!F8</f>
        <v>24.251278305332356</v>
      </c>
      <c r="C20" t="str">
        <f>'udaje z dotaznika'!G8</f>
        <v>normálna hmotnosť</v>
      </c>
    </row>
    <row r="21" spans="1:3" x14ac:dyDescent="0.25">
      <c r="A21" s="2">
        <v>49</v>
      </c>
      <c r="B21" s="3">
        <f>'udaje z dotaznika'!F7</f>
        <v>24.391058839252899</v>
      </c>
      <c r="C21" t="str">
        <f>'udaje z dotaznika'!G7</f>
        <v>normálna hmotnosť</v>
      </c>
    </row>
    <row r="22" spans="1:3" x14ac:dyDescent="0.25">
      <c r="A22">
        <v>52</v>
      </c>
      <c r="B22" s="1">
        <f>'udaje z dotaznika'!F13</f>
        <v>21.461936624163616</v>
      </c>
      <c r="C22" t="str">
        <f>'udaje z dotaznika'!G13</f>
        <v>normálna hmotnosť</v>
      </c>
    </row>
    <row r="23" spans="1:3" x14ac:dyDescent="0.25">
      <c r="A23">
        <v>52</v>
      </c>
      <c r="B23" s="1">
        <f>'udaje z dotaznika'!F18</f>
        <v>29.384756657483933</v>
      </c>
      <c r="C23" t="str">
        <f>'udaje z dotaznika'!G18</f>
        <v>nadváha</v>
      </c>
    </row>
    <row r="24" spans="1:3" x14ac:dyDescent="0.25">
      <c r="A24">
        <v>53</v>
      </c>
      <c r="B24" s="1">
        <f>'udaje z dotaznika'!F23</f>
        <v>27.309968138370508</v>
      </c>
      <c r="C24" t="str">
        <f>'udaje z dotaznika'!G23</f>
        <v>nadváha</v>
      </c>
    </row>
    <row r="25" spans="1:3" x14ac:dyDescent="0.25">
      <c r="A25" s="10">
        <v>54</v>
      </c>
      <c r="B25" s="11">
        <f>'udaje z dotaznika'!F16</f>
        <v>31.887755102040821</v>
      </c>
      <c r="C25" t="str">
        <f>'udaje z dotaznika'!G16</f>
        <v>obezita</v>
      </c>
    </row>
    <row r="26" spans="1:3" x14ac:dyDescent="0.25">
      <c r="A26">
        <v>56</v>
      </c>
      <c r="B26" s="1">
        <f>'udaje z dotaznika'!F5</f>
        <v>32.406157169862269</v>
      </c>
      <c r="C26" t="str">
        <f>'udaje z dotaznika'!G5</f>
        <v>obezita</v>
      </c>
    </row>
    <row r="27" spans="1:3" x14ac:dyDescent="0.25">
      <c r="A27" s="2">
        <v>58</v>
      </c>
      <c r="B27" s="3">
        <f>'udaje z dotaznika'!F12</f>
        <v>23.082542001460919</v>
      </c>
      <c r="C27" t="str">
        <f>'udaje z dotaznika'!G12</f>
        <v>normálna hmotnosť</v>
      </c>
    </row>
    <row r="28" spans="1:3" x14ac:dyDescent="0.25">
      <c r="A28">
        <v>60</v>
      </c>
      <c r="B28" s="1">
        <f>'udaje z dotaznika'!F22</f>
        <v>22.460034350640772</v>
      </c>
      <c r="C28" t="str">
        <f>'udaje z dotaznika'!G22</f>
        <v>normálna hmotnosť</v>
      </c>
    </row>
    <row r="29" spans="1:3" x14ac:dyDescent="0.25">
      <c r="A29">
        <v>62</v>
      </c>
      <c r="B29" s="1">
        <f>'udaje z dotaznika'!F3</f>
        <v>27.475629493018182</v>
      </c>
      <c r="C29" t="str">
        <f>'udaje z dotaznika'!G3</f>
        <v>nadváha</v>
      </c>
    </row>
    <row r="30" spans="1:3" x14ac:dyDescent="0.25">
      <c r="A30" s="2">
        <v>63</v>
      </c>
      <c r="B30" s="3">
        <f>'udaje z dotaznika'!F14</f>
        <v>20.715693808680545</v>
      </c>
      <c r="C30" t="str">
        <f>'udaje z dotaznika'!G14</f>
        <v>normálna hmotnosť</v>
      </c>
    </row>
    <row r="31" spans="1:3" x14ac:dyDescent="0.25">
      <c r="A31">
        <v>77</v>
      </c>
      <c r="B31" s="1">
        <f>'udaje z dotaznika'!F28</f>
        <v>20.151004999489849</v>
      </c>
      <c r="C31" t="str">
        <f>'udaje z dotaznika'!G28</f>
        <v>normálna hmotnosť</v>
      </c>
    </row>
  </sheetData>
  <sortState ref="A2:C31">
    <sortCondition ref="A2:A31"/>
  </sortState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2" workbookViewId="0">
      <selection activeCell="J10" sqref="J10"/>
    </sheetView>
  </sheetViews>
  <sheetFormatPr defaultRowHeight="15" x14ac:dyDescent="0.25"/>
  <cols>
    <col min="1" max="1" width="14" customWidth="1"/>
    <col min="7" max="7" width="18.5703125" customWidth="1"/>
  </cols>
  <sheetData>
    <row r="1" spans="1:15" x14ac:dyDescent="0.25">
      <c r="A1" t="s">
        <v>4</v>
      </c>
      <c r="B1" t="s">
        <v>11</v>
      </c>
    </row>
    <row r="2" spans="1:15" x14ac:dyDescent="0.25">
      <c r="A2">
        <v>0</v>
      </c>
      <c r="B2" s="1">
        <f>'udaje z dotaznika'!F2</f>
        <v>26.004382761139514</v>
      </c>
      <c r="C2" t="str">
        <f>'udaje z dotaznika'!G2</f>
        <v>nadváha</v>
      </c>
    </row>
    <row r="3" spans="1:15" x14ac:dyDescent="0.25">
      <c r="A3">
        <v>0</v>
      </c>
      <c r="B3" s="1">
        <f>'udaje z dotaznika'!F8</f>
        <v>24.251278305332356</v>
      </c>
      <c r="C3" t="str">
        <f>'udaje z dotaznika'!G8</f>
        <v>normálna hmotnosť</v>
      </c>
      <c r="G3" t="s">
        <v>43</v>
      </c>
      <c r="H3">
        <v>0</v>
      </c>
      <c r="I3">
        <v>1</v>
      </c>
      <c r="J3">
        <v>2</v>
      </c>
      <c r="K3">
        <v>7</v>
      </c>
    </row>
    <row r="4" spans="1:15" x14ac:dyDescent="0.25">
      <c r="A4">
        <v>0</v>
      </c>
      <c r="B4" s="1">
        <f>'udaje z dotaznika'!F11</f>
        <v>24.005486968449926</v>
      </c>
      <c r="C4" t="str">
        <f>'udaje z dotaznika'!G11</f>
        <v>normálna hmotnosť</v>
      </c>
      <c r="G4" t="s">
        <v>13</v>
      </c>
      <c r="H4">
        <f>COUNTIF(A:A,0)</f>
        <v>9</v>
      </c>
      <c r="I4">
        <f>COUNTIF(A:A,1)</f>
        <v>11</v>
      </c>
      <c r="J4">
        <f>COUNTIF(A:A,2)</f>
        <v>6</v>
      </c>
      <c r="K4">
        <f>COUNTIF(A:A,7)</f>
        <v>4</v>
      </c>
      <c r="L4">
        <f>SUM(H4:K4)</f>
        <v>30</v>
      </c>
    </row>
    <row r="5" spans="1:15" x14ac:dyDescent="0.25">
      <c r="A5">
        <v>0</v>
      </c>
      <c r="B5" s="1">
        <f>'udaje z dotaznika'!F12</f>
        <v>23.082542001460919</v>
      </c>
      <c r="C5" t="str">
        <f>'udaje z dotaznika'!G12</f>
        <v>normálna hmotnosť</v>
      </c>
      <c r="G5" t="s">
        <v>12</v>
      </c>
      <c r="H5" s="1">
        <f>AVERAGE(B2:B10)</f>
        <v>25.648651112874795</v>
      </c>
      <c r="I5" s="1">
        <f>AVERAGE(B11:B21)</f>
        <v>23.774494916645686</v>
      </c>
      <c r="J5" s="1">
        <f>AVERAGE(B22:B27)</f>
        <v>21.750393335022171</v>
      </c>
      <c r="K5" s="1">
        <f>AVERAGE(B28:B31)</f>
        <v>29.466693891681956</v>
      </c>
      <c r="N5">
        <v>0</v>
      </c>
      <c r="O5" t="s">
        <v>5</v>
      </c>
    </row>
    <row r="6" spans="1:15" x14ac:dyDescent="0.25">
      <c r="A6">
        <v>0</v>
      </c>
      <c r="B6" s="1">
        <f>'udaje z dotaznika'!F18</f>
        <v>29.384756657483933</v>
      </c>
      <c r="C6" t="str">
        <f>'udaje z dotaznika'!G18</f>
        <v>nadváha</v>
      </c>
      <c r="H6" t="str">
        <f>IF(H5&gt;30,"obezita",IF(H5&gt;25,"nadváha",IF(H5&gt;19,"normálna hmotnosť","podváha")))</f>
        <v>nadváha</v>
      </c>
      <c r="I6" t="str">
        <f t="shared" ref="I6:K6" si="0">IF(I5&gt;30,"obezita",IF(I5&gt;25,"nadváha",IF(I5&gt;19,"normálna hmotnosť","podváha")))</f>
        <v>normálna hmotnosť</v>
      </c>
      <c r="J6" t="str">
        <f t="shared" si="0"/>
        <v>normálna hmotnosť</v>
      </c>
      <c r="K6" t="str">
        <f t="shared" si="0"/>
        <v>nadváha</v>
      </c>
      <c r="N6">
        <v>1</v>
      </c>
      <c r="O6" t="s">
        <v>7</v>
      </c>
    </row>
    <row r="7" spans="1:15" x14ac:dyDescent="0.25">
      <c r="A7">
        <v>0</v>
      </c>
      <c r="B7" s="1">
        <f>'udaje z dotaznika'!F22</f>
        <v>22.460034350640772</v>
      </c>
      <c r="C7" t="str">
        <f>'udaje z dotaznika'!G22</f>
        <v>normálna hmotnosť</v>
      </c>
      <c r="N7">
        <v>2</v>
      </c>
      <c r="O7" t="s">
        <v>8</v>
      </c>
    </row>
    <row r="8" spans="1:15" x14ac:dyDescent="0.25">
      <c r="A8">
        <v>0</v>
      </c>
      <c r="B8" s="1">
        <f>'udaje z dotaznika'!F23</f>
        <v>27.309968138370508</v>
      </c>
      <c r="C8" t="str">
        <f>'udaje z dotaznika'!G23</f>
        <v>nadváha</v>
      </c>
      <c r="N8">
        <v>7</v>
      </c>
      <c r="O8" t="s">
        <v>6</v>
      </c>
    </row>
    <row r="9" spans="1:15" x14ac:dyDescent="0.25">
      <c r="A9">
        <v>0</v>
      </c>
      <c r="B9" s="1">
        <f>'udaje z dotaznika'!F24</f>
        <v>26.562499999999996</v>
      </c>
      <c r="C9" t="str">
        <f>'udaje z dotaznika'!G24</f>
        <v>nadváha</v>
      </c>
    </row>
    <row r="10" spans="1:15" x14ac:dyDescent="0.25">
      <c r="A10" s="2">
        <v>0</v>
      </c>
      <c r="B10" s="3">
        <f>'udaje z dotaznika'!F29</f>
        <v>27.776910832995224</v>
      </c>
      <c r="C10" s="2" t="str">
        <f>'udaje z dotaznika'!G29</f>
        <v>nadváha</v>
      </c>
    </row>
    <row r="11" spans="1:15" x14ac:dyDescent="0.25">
      <c r="A11">
        <v>1</v>
      </c>
      <c r="B11" s="1">
        <f>'udaje z dotaznika'!F3</f>
        <v>27.475629493018182</v>
      </c>
      <c r="C11" t="str">
        <f>'udaje z dotaznika'!G3</f>
        <v>nadváha</v>
      </c>
    </row>
    <row r="12" spans="1:15" x14ac:dyDescent="0.25">
      <c r="A12">
        <v>1</v>
      </c>
      <c r="B12" s="1">
        <f>'udaje z dotaznika'!F4</f>
        <v>28.076319285110493</v>
      </c>
      <c r="C12" t="str">
        <f>'udaje z dotaznika'!G4</f>
        <v>nadváha</v>
      </c>
    </row>
    <row r="13" spans="1:15" x14ac:dyDescent="0.25">
      <c r="A13">
        <v>1</v>
      </c>
      <c r="B13" s="1">
        <f>'udaje z dotaznika'!F10</f>
        <v>24.256825326105798</v>
      </c>
      <c r="C13" t="str">
        <f>'udaje z dotaznika'!G10</f>
        <v>normálna hmotnosť</v>
      </c>
    </row>
    <row r="14" spans="1:15" x14ac:dyDescent="0.25">
      <c r="A14">
        <v>1</v>
      </c>
      <c r="B14" s="1">
        <f>'udaje z dotaznika'!F14</f>
        <v>20.715693808680545</v>
      </c>
      <c r="C14" t="str">
        <f>'udaje z dotaznika'!G14</f>
        <v>normálna hmotnosť</v>
      </c>
    </row>
    <row r="15" spans="1:15" x14ac:dyDescent="0.25">
      <c r="A15">
        <v>1</v>
      </c>
      <c r="B15" s="1">
        <f>'udaje z dotaznika'!F16</f>
        <v>31.887755102040821</v>
      </c>
      <c r="C15" t="str">
        <f>'udaje z dotaznika'!G16</f>
        <v>obezita</v>
      </c>
    </row>
    <row r="16" spans="1:15" x14ac:dyDescent="0.25">
      <c r="A16">
        <v>1</v>
      </c>
      <c r="B16" s="1">
        <f>'udaje z dotaznika'!F17</f>
        <v>21.430121527777779</v>
      </c>
      <c r="C16" t="str">
        <f>'udaje z dotaznika'!G17</f>
        <v>normálna hmotnosť</v>
      </c>
    </row>
    <row r="17" spans="1:3" x14ac:dyDescent="0.25">
      <c r="A17">
        <v>1</v>
      </c>
      <c r="B17" s="1">
        <f>'udaje z dotaznika'!F21</f>
        <v>22.59143813091595</v>
      </c>
      <c r="C17" t="str">
        <f>'udaje z dotaznika'!G21</f>
        <v>normálna hmotnosť</v>
      </c>
    </row>
    <row r="18" spans="1:3" x14ac:dyDescent="0.25">
      <c r="A18">
        <v>1</v>
      </c>
      <c r="B18" s="1">
        <f>'udaje z dotaznika'!F25</f>
        <v>22.305470559638533</v>
      </c>
      <c r="C18" t="str">
        <f>'udaje z dotaznika'!G25</f>
        <v>normálna hmotnosť</v>
      </c>
    </row>
    <row r="19" spans="1:3" x14ac:dyDescent="0.25">
      <c r="A19">
        <v>1</v>
      </c>
      <c r="B19" s="1">
        <f>'udaje z dotaznika'!F27</f>
        <v>19.445794846864363</v>
      </c>
      <c r="C19" t="str">
        <f>'udaje z dotaznika'!G27</f>
        <v>normálna hmotnosť</v>
      </c>
    </row>
    <row r="20" spans="1:3" x14ac:dyDescent="0.25">
      <c r="A20">
        <v>1</v>
      </c>
      <c r="B20" s="1">
        <f>'udaje z dotaznika'!F28</f>
        <v>20.151004999489849</v>
      </c>
      <c r="C20" t="str">
        <f>'udaje z dotaznika'!G28</f>
        <v>normálna hmotnosť</v>
      </c>
    </row>
    <row r="21" spans="1:3" x14ac:dyDescent="0.25">
      <c r="A21" s="2">
        <v>1</v>
      </c>
      <c r="B21" s="3">
        <f>'udaje z dotaznika'!F31</f>
        <v>23.183391003460208</v>
      </c>
      <c r="C21" s="2" t="str">
        <f>'udaje z dotaznika'!G31</f>
        <v>normálna hmotnosť</v>
      </c>
    </row>
    <row r="22" spans="1:3" x14ac:dyDescent="0.25">
      <c r="A22">
        <v>2</v>
      </c>
      <c r="B22" s="1">
        <f>'udaje z dotaznika'!F6</f>
        <v>25.605536332179934</v>
      </c>
      <c r="C22" t="str">
        <f>'udaje z dotaznika'!G6</f>
        <v>nadváha</v>
      </c>
    </row>
    <row r="23" spans="1:3" x14ac:dyDescent="0.25">
      <c r="A23">
        <v>2</v>
      </c>
      <c r="B23" s="1">
        <f>'udaje z dotaznika'!F9</f>
        <v>18.810069829163339</v>
      </c>
      <c r="C23" t="str">
        <f>'udaje z dotaznika'!G9</f>
        <v>podváha</v>
      </c>
    </row>
    <row r="24" spans="1:3" x14ac:dyDescent="0.25">
      <c r="A24">
        <v>2</v>
      </c>
      <c r="B24" s="1">
        <f>'udaje z dotaznika'!F13</f>
        <v>21.461936624163616</v>
      </c>
      <c r="C24" t="str">
        <f>'udaje z dotaznika'!G13</f>
        <v>normálna hmotnosť</v>
      </c>
    </row>
    <row r="25" spans="1:3" x14ac:dyDescent="0.25">
      <c r="A25">
        <v>2</v>
      </c>
      <c r="B25" s="1">
        <f>'udaje z dotaznika'!F15</f>
        <v>22.877405702193368</v>
      </c>
      <c r="C25" t="str">
        <f>'udaje z dotaznika'!G15</f>
        <v>normálna hmotnosť</v>
      </c>
    </row>
    <row r="26" spans="1:3" x14ac:dyDescent="0.25">
      <c r="A26">
        <v>2</v>
      </c>
      <c r="B26" s="1">
        <f>'udaje z dotaznika'!F20</f>
        <v>20.233553011908889</v>
      </c>
      <c r="C26" t="str">
        <f>'udaje z dotaznika'!G20</f>
        <v>normálna hmotnosť</v>
      </c>
    </row>
    <row r="27" spans="1:3" x14ac:dyDescent="0.25">
      <c r="A27" s="2">
        <v>2</v>
      </c>
      <c r="B27" s="3">
        <f>'udaje z dotaznika'!F26</f>
        <v>21.513858510523864</v>
      </c>
      <c r="C27" s="2" t="str">
        <f>'udaje z dotaznika'!G26</f>
        <v>normálna hmotnosť</v>
      </c>
    </row>
    <row r="28" spans="1:3" x14ac:dyDescent="0.25">
      <c r="A28">
        <v>7</v>
      </c>
      <c r="B28" s="1">
        <f>'udaje z dotaznika'!F5</f>
        <v>32.406157169862269</v>
      </c>
      <c r="C28" t="str">
        <f>'udaje z dotaznika'!G5</f>
        <v>obezita</v>
      </c>
    </row>
    <row r="29" spans="1:3" x14ac:dyDescent="0.25">
      <c r="A29">
        <v>7</v>
      </c>
      <c r="B29" s="1">
        <f>'udaje z dotaznika'!F7</f>
        <v>24.391058839252899</v>
      </c>
      <c r="C29" t="str">
        <f>'udaje z dotaznika'!G7</f>
        <v>normálna hmotnosť</v>
      </c>
    </row>
    <row r="30" spans="1:3" x14ac:dyDescent="0.25">
      <c r="A30">
        <v>7</v>
      </c>
      <c r="B30" s="1">
        <f>'udaje z dotaznika'!F19</f>
        <v>30.273711806747606</v>
      </c>
      <c r="C30" t="str">
        <f>'udaje z dotaznika'!G19</f>
        <v>obezita</v>
      </c>
    </row>
    <row r="31" spans="1:3" x14ac:dyDescent="0.25">
      <c r="A31">
        <v>7</v>
      </c>
      <c r="B31" s="1">
        <f>'udaje z dotaznika'!F30</f>
        <v>30.795847750865054</v>
      </c>
      <c r="C31" t="str">
        <f>'udaje z dotaznika'!G30</f>
        <v>obezita</v>
      </c>
    </row>
  </sheetData>
  <sortState ref="N6:O8">
    <sortCondition ref="N6:N8"/>
  </sortState>
  <conditionalFormatting sqref="F13">
    <cfRule type="cellIs" dxfId="0" priority="1" operator="greaterThan">
      <formula>30</formula>
    </cfRule>
  </conditionalFormatting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"/>
  <sheetViews>
    <sheetView workbookViewId="0">
      <selection activeCell="B2" sqref="B2:C3"/>
    </sheetView>
  </sheetViews>
  <sheetFormatPr defaultRowHeight="15" x14ac:dyDescent="0.25"/>
  <cols>
    <col min="2" max="2" width="22.7109375" customWidth="1"/>
  </cols>
  <sheetData>
    <row r="2" spans="2:4" x14ac:dyDescent="0.25">
      <c r="B2" s="12" t="s">
        <v>51</v>
      </c>
      <c r="C2" s="1">
        <f>vyska!H8</f>
        <v>-0.56073045990696357</v>
      </c>
    </row>
    <row r="3" spans="2:4" x14ac:dyDescent="0.25">
      <c r="B3" s="12" t="s">
        <v>52</v>
      </c>
      <c r="C3" s="1">
        <f>vek!H9</f>
        <v>3.1048673143236317E-2</v>
      </c>
    </row>
    <row r="4" spans="2:4" x14ac:dyDescent="0.25">
      <c r="B4" s="12"/>
    </row>
    <row r="5" spans="2:4" x14ac:dyDescent="0.25">
      <c r="D5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udaje z dotaznika</vt:lpstr>
      <vt:lpstr>vyska</vt:lpstr>
      <vt:lpstr>hmotnost</vt:lpstr>
      <vt:lpstr>pohlavie</vt:lpstr>
      <vt:lpstr>vek</vt:lpstr>
      <vt:lpstr>fastfood</vt:lpstr>
      <vt:lpstr>zavislosti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bagi</dc:creator>
  <cp:lastModifiedBy>bagi</cp:lastModifiedBy>
  <dcterms:created xsi:type="dcterms:W3CDTF">2013-04-19T18:32:10Z</dcterms:created>
  <dcterms:modified xsi:type="dcterms:W3CDTF">2013-04-24T21:05:12Z</dcterms:modified>
</cp:coreProperties>
</file>